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<sst xmlns="http://schemas.openxmlformats.org/spreadsheetml/2006/main" count="1140" uniqueCount="532">
  <si>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</si>
  <si>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</si>
  <si>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</si>
  <si>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</si>
  <si>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</si>
  <si>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</si>
  <si>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</si>
  <si>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</si>
  <si>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</si>
  <si>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</si>
  <si>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</si>
  <si>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</si>
  <si>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</si>
  <si>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</si>
  <si>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</si>
  <si>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</si>
  <si>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</si>
  <si>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</si>
  <si>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</si>
  <si>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</si>
  <si>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</si>
  <si>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</si>
  <si>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</si>
  <si>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</si>
  <si>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</si>
  <si>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</si>
  <si>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</si>
  <si>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</si>
  <si>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</si>
  <si>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</si>
  <si>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</si>
  <si>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</si>
  <si>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</si>
  <si>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</si>
  <si>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</si>
  <si>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</si>
  <si>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</si>
  <si>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</si>
  <si>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</si>
  <si>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</si>
  <si>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</si>
  <si>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</si>
  <si>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</si>
  <si>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</si>
  <si>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</si>
  <si>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</si>
  <si>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</si>
  <si>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</si>
  <si>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</si>
  <si>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</si>
  <si>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</si>
  <si>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</si>
  <si>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</si>
  <si>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</si>
  <si>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</si>
  <si>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</si>
  <si>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</si>
  <si>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</si>
  <si>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</si>
  <si>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</si>
  <si>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</si>
  <si>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</si>
  <si>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</si>
  <si>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</si>
  <si>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</si>
  <si>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</si>
  <si>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</si>
  <si>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</si>
  <si>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</si>
  <si>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</si>
  <si>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</si>
  <si>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</si>
  <si>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</si>
  <si>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</si>
  <si>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</si>
  <si>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</si>
  <si>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</si>
  <si>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</si>
  <si>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</si>
  <si>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</si>
  <si>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</si>
  <si>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</si>
  <si>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</si>
  <si>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</si>
  <si>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</si>
  <si>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</si>
  <si>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</si>
  <si>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</si>
  <si>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</si>
  <si>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</si>
  <si>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</si>
  <si>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</si>
  <si>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</si>
  <si>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</si>
  <si>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</si>
  <si>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</si>
  <si>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</si>
  <si>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</si>
  <si>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</si>
  <si>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</si>
  <si>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</si>
  <si>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</si>
  <si>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</si>
  <si>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</si>
  <si>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</si>
  <si>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</si>
  <si>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</si>
  <si>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</si>
  <si>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</si>
  <si>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</si>
  <si>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</si>
  <si>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</si>
  <si>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</si>
  <si>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</si>
  <si>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</si>
  <si>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</si>
  <si>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</si>
  <si>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</si>
  <si>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</si>
  <si>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</si>
  <si>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</si>
  <si>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</si>
  <si>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</si>
  <si>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</si>
  <si>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</si>
  <si>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</si>
  <si>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</si>
  <si>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</si>
  <si>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</si>
  <si>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</si>
  <si>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</si>
  <si>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</si>
  <si>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</si>
  <si>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</si>
  <si>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</si>
  <si>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</si>
  <si>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</si>
  <si>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</si>
  <si>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</si>
  <si>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</si>
  <si>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</si>
  <si>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</si>
  <si>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</si>
  <si>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</si>
  <si>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</si>
  <si>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</si>
  <si>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</si>
  <si>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</si>
  <si>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</si>
  <si>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</si>
  <si>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</si>
  <si>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</si>
  <si>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</si>
  <si>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</si>
  <si>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</si>
  <si>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</si>
  <si>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</si>
  <si>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</si>
  <si>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</si>
  <si>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</si>
  <si>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</si>
  <si>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</si>
  <si>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</si>
  <si>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</si>
  <si>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</si>
  <si>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</si>
  <si>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</si>
  <si>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</si>
  <si>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</si>
  <si>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</si>
  <si>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</si>
  <si>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</si>
  <si>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</si>
  <si>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</si>
  <si>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</si>
  <si>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</si>
  <si>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</si>
  <si>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</si>
  <si>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</si>
  <si>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</si>
  <si>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</si>
  <si>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</si>
  <si>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</si>
  <si>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</si>
  <si>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</si>
  <si>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</si>
  <si>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</si>
  <si>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</si>
  <si>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</si>
  <si>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</si>
  <si>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</si>
  <si>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</si>
  <si>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</si>
  <si>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</si>
  <si>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</si>
  <si>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</si>
  <si>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</si>
  <si>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</si>
  <si>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</si>
  <si>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</si>
  <si>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</si>
  <si>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</si>
  <si>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</si>
  <si>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</si>
  <si>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</si>
  <si>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</si>
  <si>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</si>
  <si>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</si>
  <si>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</si>
  <si>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</si>
  <si>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</si>
  <si>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</si>
  <si>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</si>
  <si>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</si>
  <si>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</si>
  <si>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</si>
  <si>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</si>
  <si>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</si>
  <si>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</si>
  <si>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</si>
  <si>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</si>
  <si>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</si>
  <si>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</si>
  <si>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</si>
  <si>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</si>
  <si>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</si>
  <si>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</si>
  <si>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</si>
  <si>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</si>
  <si>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</si>
  <si>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</si>
  <si>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</si>
  <si>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</si>
  <si>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</si>
  <si>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</si>
  <si>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</si>
  <si>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</si>
  <si>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</si>
  <si>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</si>
  <si>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</si>
  <si>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</si>
  <si>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</si>
  <si>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</si>
  <si>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</si>
  <si>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</si>
  <si>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</si>
  <si>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</si>
  <si>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</si>
  <si>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</si>
  <si>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</si>
  <si>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</si>
  <si>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</si>
  <si>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</si>
  <si>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</si>
  <si>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</si>
  <si>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</si>
  <si>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</si>
  <si>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</si>
  <si>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</si>
  <si>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</si>
  <si>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</si>
  <si>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</si>
  <si>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</si>
  <si>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</si>
  <si>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</si>
  <si>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</si>
  <si>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</si>
  <si>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</si>
  <si>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</si>
  <si>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</si>
  <si>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</si>
  <si>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</si>
  <si>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</si>
  <si>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</si>
  <si>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</si>
  <si>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</si>
  <si>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</si>
  <si>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</si>
  <si>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</si>
  <si>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</si>
  <si>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</si>
  <si>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</si>
  <si>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B84001</t>
  </si>
  <si>
    <t>B84002</t>
  </si>
  <si>
    <t>B84003</t>
  </si>
  <si>
    <t>B84004</t>
  </si>
  <si>
    <t>B84005</t>
  </si>
  <si>
    <t>B84006</t>
  </si>
  <si>
    <t>B84007</t>
  </si>
  <si>
    <t>B84008</t>
  </si>
  <si>
    <t>B84009</t>
  </si>
  <si>
    <t>B84010</t>
  </si>
  <si>
    <t>B84011</t>
  </si>
  <si>
    <t>B84012</t>
  </si>
  <si>
    <t>B84013</t>
  </si>
  <si>
    <t>B84014</t>
  </si>
  <si>
    <t>B84016</t>
  </si>
  <si>
    <t>B84017</t>
  </si>
  <si>
    <t>B84019</t>
  </si>
  <si>
    <t>B84021</t>
  </si>
  <si>
    <t>B84610</t>
  </si>
  <si>
    <t>B84612</t>
  </si>
  <si>
    <t>B84613</t>
  </si>
  <si>
    <t>B84614</t>
  </si>
  <si>
    <t>B84615</t>
  </si>
  <si>
    <t>B84618</t>
  </si>
  <si>
    <t>B84623</t>
  </si>
  <si>
    <t>B84625</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</si>
  <si>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</si>
  <si>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</si>
  <si>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</si>
  <si>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</si>
  <si>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</si>
  <si>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</si>
  <si>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</si>
  <si>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</si>
  <si>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</si>
  <si>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</si>
  <si>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</si>
  <si>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</si>
  <si>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</si>
  <si>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</si>
  <si>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</si>
  <si>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</si>
  <si>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</si>
  <si>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</si>
  <si>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</si>
  <si>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</si>
  <si>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</si>
  <si>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</si>
  <si>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</si>
  <si>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</si>
  <si>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</si>
  <si>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</si>
  <si>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</si>
  <si>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</si>
  <si>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</si>
  <si>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</si>
  <si>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</si>
  <si>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</si>
  <si>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</si>
  <si>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</si>
  <si>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</si>
  <si>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</si>
  <si>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</si>
  <si>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</si>
  <si>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</si>
  <si>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</si>
  <si>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</si>
  <si>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</si>
  <si>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</si>
  <si>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</si>
  <si>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</si>
  <si>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</si>
  <si>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</si>
  <si>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</si>
  <si>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</si>
  <si>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</si>
  <si>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</si>
  <si>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</si>
  <si>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</si>
  <si>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</si>
  <si>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</si>
  <si>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</si>
  <si>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</si>
  <si>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</si>
  <si>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</si>
  <si>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</si>
  <si>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</si>
  <si>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</si>
  <si>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</si>
  <si>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</si>
  <si>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</si>
  <si>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</si>
  <si>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</si>
  <si>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</si>
  <si>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</si>
  <si>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</si>
  <si>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</si>
  <si>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</si>
  <si>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</si>
  <si>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</si>
  <si>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</si>
  <si>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</si>
  <si>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</si>
  <si>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</si>
  <si>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</si>
  <si>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</si>
  <si>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</si>
  <si>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</si>
  <si>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</si>
  <si>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</si>
  <si>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</si>
  <si>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</si>
  <si>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</si>
  <si>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</si>
  <si>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</si>
  <si>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</si>
  <si>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</si>
  <si>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</si>
  <si>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</si>
  <si>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</si>
  <si>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</si>
  <si>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</si>
  <si>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</si>
  <si>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</si>
  <si>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</si>
  <si>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</si>
  <si>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</si>
  <si>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</si>
  <si>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</si>
  <si>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</si>
  <si>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</si>
  <si>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</si>
  <si>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</si>
  <si>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</si>
  <si>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</si>
  <si>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</si>
  <si>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</si>
  <si>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</si>
  <si>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</si>
  <si>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</si>
  <si>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</si>
  <si>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</si>
  <si>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</si>
  <si>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</si>
  <si>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</si>
  <si>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</si>
  <si>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</si>
  <si>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</si>
  <si>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</si>
  <si>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</si>
  <si>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</si>
  <si>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</si>
  <si>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</si>
  <si>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</si>
  <si>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</si>
  <si>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</si>
  <si>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</si>
  <si>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</si>
  <si>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</si>
  <si>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</si>
  <si>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</si>
  <si>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</si>
  <si>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</si>
  <si>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</si>
  <si>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</si>
  <si>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</si>
  <si>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</si>
  <si>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</si>
  <si>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</si>
  <si>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</si>
  <si>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</si>
  <si>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</si>
  <si>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</si>
  <si>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</si>
  <si>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</si>
  <si>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</si>
  <si>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</si>
  <si>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</si>
  <si>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</si>
  <si>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</si>
  <si>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</si>
  <si>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</si>
  <si>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</si>
  <si>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</si>
  <si>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</si>
  <si>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</si>
  <si>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</si>
  <si>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</si>
  <si>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</si>
  <si>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</si>
  <si>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</si>
  <si>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</si>
  <si>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</si>
  <si>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</si>
  <si>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</si>
  <si>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</si>
  <si>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</si>
  <si>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</si>
  <si>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</si>
  <si>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</si>
  <si>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</si>
  <si>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</si>
  <si>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</si>
  <si>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</si>
  <si>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</si>
  <si>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</si>
  <si>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</si>
  <si>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</si>
  <si>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</si>
  <si>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</si>
  <si>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</si>
  <si>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</si>
  <si>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(B84001) STATION ROAD SURGERY</t>
  </si>
  <si>
    <t>(B84002) QUEENS ROAD SURGERY</t>
  </si>
  <si>
    <t>(B84003) RYDINGS HALL SURGERY</t>
  </si>
  <si>
    <t>(B84004) HEBDEN BRIDGE GROUP PRACTICE</t>
  </si>
  <si>
    <t>(B84005) ROSEGARTH SURGERY</t>
  </si>
  <si>
    <t>(B84006) TODMORDEN GROUP PRACTICE</t>
  </si>
  <si>
    <t>(B84007) BRIG ROYD SURGERY</t>
  </si>
  <si>
    <t>(B84008) THE NORTHOLME PRACTICE</t>
  </si>
  <si>
    <t>(B84009) STAINLAND ROAD MEDICAL CENTRE</t>
  </si>
  <si>
    <t>(B84010) KEIGHLEY ROAD SURGERY</t>
  </si>
  <si>
    <t>(B84011) CHURCH LANE SURGERY</t>
  </si>
  <si>
    <t>(B84012) SPRING HALL GROUP PRACTICE</t>
  </si>
  <si>
    <t>(B84013) PLANE TREES GROUP PRACTICE</t>
  </si>
  <si>
    <t>(B84014) RASTRICK HEALTH CENTRE</t>
  </si>
  <si>
    <t>(B84016) BANKFIELD SURGERY</t>
  </si>
  <si>
    <t>(B84017) BURLEY STREET SURGERY</t>
  </si>
  <si>
    <t>(B84019) DR CARSLEY AND PARTNERS</t>
  </si>
  <si>
    <t>(B84021) KING CROSS PRACTICE</t>
  </si>
  <si>
    <t>(B84610) HORNE STREET SURGERY</t>
  </si>
  <si>
    <t>(B84612) LISTER LANE SURGERY</t>
  </si>
  <si>
    <t>(B84613) BEECHWOOD MEDICAL CENTRE</t>
  </si>
  <si>
    <t>(B84614) BOOTHTOWN SURGERY</t>
  </si>
  <si>
    <t>(B84615) SOUTHOWRAM SURGERY</t>
  </si>
  <si>
    <t>(B84618) CARITAS GROUP PRACTICE</t>
  </si>
  <si>
    <t>(B84623) LONGROYDE SURGERY</t>
  </si>
  <si>
    <t>(B84625) NURSERY LANE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</si>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</sst>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0.9103176480288768</c:v>
                </c:pt>
                <c:pt idx="3">
                  <c:v>1</c:v>
                </c:pt>
                <c:pt idx="4">
                  <c:v>0.8661499066103187</c:v>
                </c:pt>
                <c:pt idx="5">
                  <c:v>1</c:v>
                </c:pt>
                <c:pt idx="6">
                  <c:v>0.909090859061188</c:v>
                </c:pt>
                <c:pt idx="7">
                  <c:v>0.6960416933220018</c:v>
                </c:pt>
                <c:pt idx="8">
                  <c:v>0.6517100904068582</c:v>
                </c:pt>
                <c:pt idx="9">
                  <c:v>0.704050966511791</c:v>
                </c:pt>
                <c:pt idx="10">
                  <c:v>0.7185344806219776</c:v>
                </c:pt>
                <c:pt idx="11">
                  <c:v>0.6777566214234818</c:v>
                </c:pt>
                <c:pt idx="12">
                  <c:v>0.9651834657706775</c:v>
                </c:pt>
                <c:pt idx="13">
                  <c:v>0</c:v>
                </c:pt>
                <c:pt idx="14">
                  <c:v>1</c:v>
                </c:pt>
                <c:pt idx="15">
                  <c:v>0.8416898574747821</c:v>
                </c:pt>
                <c:pt idx="16">
                  <c:v>1</c:v>
                </c:pt>
                <c:pt idx="17">
                  <c:v>1</c:v>
                </c:pt>
                <c:pt idx="18">
                  <c:v>1</c:v>
                </c:pt>
                <c:pt idx="19">
                  <c:v>1</c:v>
                </c:pt>
                <c:pt idx="20">
                  <c:v>1</c:v>
                </c:pt>
                <c:pt idx="21">
                  <c:v>1</c:v>
                </c:pt>
                <c:pt idx="22">
                  <c:v>0.8692438319510137</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0.6472625370387095</c:v>
                </c:pt>
                <c:pt idx="3">
                  <c:v>0.6280487592130967</c:v>
                </c:pt>
                <c:pt idx="4">
                  <c:v>0.6356482008907732</c:v>
                </c:pt>
                <c:pt idx="5">
                  <c:v>0.5955597645138556</c:v>
                </c:pt>
                <c:pt idx="6">
                  <c:v>0.6818181125462602</c:v>
                </c:pt>
                <c:pt idx="7">
                  <c:v>0.5408630524432951</c:v>
                </c:pt>
                <c:pt idx="8">
                  <c:v>0.577402896805485</c:v>
                </c:pt>
                <c:pt idx="9">
                  <c:v>0.558700592289822</c:v>
                </c:pt>
                <c:pt idx="10">
                  <c:v>0.5775571750035349</c:v>
                </c:pt>
                <c:pt idx="11">
                  <c:v>0.561590386753065</c:v>
                </c:pt>
                <c:pt idx="12">
                  <c:v>0.7001996158588142</c:v>
                </c:pt>
                <c:pt idx="13">
                  <c:v>0</c:v>
                </c:pt>
                <c:pt idx="14">
                  <c:v>0.6958720464218381</c:v>
                </c:pt>
                <c:pt idx="15">
                  <c:v>0.5974154370968381</c:v>
                </c:pt>
                <c:pt idx="16">
                  <c:v>0.6820193101195874</c:v>
                </c:pt>
                <c:pt idx="17">
                  <c:v>0.6521485174909116</c:v>
                </c:pt>
                <c:pt idx="18">
                  <c:v>0.5531430982477176</c:v>
                </c:pt>
                <c:pt idx="19">
                  <c:v>0.6910714442738053</c:v>
                </c:pt>
                <c:pt idx="20">
                  <c:v>0.6734777020956341</c:v>
                </c:pt>
                <c:pt idx="21">
                  <c:v>0.6539884510403733</c:v>
                </c:pt>
                <c:pt idx="22">
                  <c:v>0.6090326251926477</c:v>
                </c:pt>
                <c:pt idx="23">
                  <c:v>0.5448237153565347</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0.39261708091619324</c:v>
                </c:pt>
                <c:pt idx="3">
                  <c:v>0.4146341423524556</c:v>
                </c:pt>
                <c:pt idx="4">
                  <c:v>0.392603071745412</c:v>
                </c:pt>
                <c:pt idx="5">
                  <c:v>0.4332813726786155</c:v>
                </c:pt>
                <c:pt idx="6">
                  <c:v>0.23863636267425362</c:v>
                </c:pt>
                <c:pt idx="7">
                  <c:v>0.365457248796591</c:v>
                </c:pt>
                <c:pt idx="8">
                  <c:v>0.30101780849831805</c:v>
                </c:pt>
                <c:pt idx="9">
                  <c:v>0.4002021099982467</c:v>
                </c:pt>
                <c:pt idx="10">
                  <c:v>0.4182014520268632</c:v>
                </c:pt>
                <c:pt idx="11">
                  <c:v>0.41409917429994036</c:v>
                </c:pt>
                <c:pt idx="12">
                  <c:v>0.26664910815506626</c:v>
                </c:pt>
                <c:pt idx="13">
                  <c:v>0</c:v>
                </c:pt>
                <c:pt idx="14">
                  <c:v>0.37477009223405094</c:v>
                </c:pt>
                <c:pt idx="15">
                  <c:v>0.3384845672208968</c:v>
                </c:pt>
                <c:pt idx="16">
                  <c:v>0.30585137156670916</c:v>
                </c:pt>
                <c:pt idx="17">
                  <c:v>0.40465041260650253</c:v>
                </c:pt>
                <c:pt idx="18">
                  <c:v>0.3879337625011143</c:v>
                </c:pt>
                <c:pt idx="19">
                  <c:v>0.39451117391674667</c:v>
                </c:pt>
                <c:pt idx="20">
                  <c:v>0.43801607149204685</c:v>
                </c:pt>
                <c:pt idx="21">
                  <c:v>0.42048805712963633</c:v>
                </c:pt>
                <c:pt idx="22">
                  <c:v>0.32997674153112583</c:v>
                </c:pt>
                <c:pt idx="23">
                  <c:v>0.42935111768213713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0.2926829379098455</c:v>
                </c:pt>
                <c:pt idx="4">
                  <c:v>0</c:v>
                </c:pt>
                <c:pt idx="5">
                  <c:v>0.14915994292186735</c:v>
                </c:pt>
                <c:pt idx="6">
                  <c:v>0</c:v>
                </c:pt>
                <c:pt idx="7">
                  <c:v>0</c:v>
                </c:pt>
                <c:pt idx="8">
                  <c:v>0</c:v>
                </c:pt>
                <c:pt idx="9">
                  <c:v>0</c:v>
                </c:pt>
                <c:pt idx="10">
                  <c:v>0</c:v>
                </c:pt>
                <c:pt idx="11">
                  <c:v>0</c:v>
                </c:pt>
                <c:pt idx="12">
                  <c:v>0</c:v>
                </c:pt>
                <c:pt idx="13">
                  <c:v>0</c:v>
                </c:pt>
                <c:pt idx="14">
                  <c:v>0.06376583332392553</c:v>
                </c:pt>
                <c:pt idx="15">
                  <c:v>0</c:v>
                </c:pt>
                <c:pt idx="16">
                  <c:v>0.2765447876965786</c:v>
                </c:pt>
                <c:pt idx="17">
                  <c:v>0.16825334009468876</c:v>
                </c:pt>
                <c:pt idx="18">
                  <c:v>0.20401614119671385</c:v>
                </c:pt>
                <c:pt idx="19">
                  <c:v>0.22044489248355695</c:v>
                </c:pt>
                <c:pt idx="20">
                  <c:v>0.12298918659196238</c:v>
                </c:pt>
                <c:pt idx="21">
                  <c:v>0.08951438045512106</c:v>
                </c:pt>
                <c:pt idx="22">
                  <c:v>0</c:v>
                </c:pt>
                <c:pt idx="23">
                  <c:v>0.1300418522742949</c:v>
                </c:pt>
                <c:pt idx="24">
                  <c:v>0</c:v>
                </c:pt>
                <c:pt idx="25">
                  <c:v>0</c:v>
                </c:pt>
                <c:pt idx="26">
                  <c:v>0</c:v>
                </c:pt>
              </c:numCache>
            </c:numRef>
          </c:val>
        </c:ser>
        <c:overlap val="100"/>
        <c:gapWidth val="100"/>
        <c:axId val="20671080"/>
        <c:axId val="5182199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0.5504249476655533</c:v>
                </c:pt>
                <c:pt idx="3">
                  <c:v>0.4880714684055825</c:v>
                </c:pt>
                <c:pt idx="4">
                  <c:v>0.45710142160125566</c:v>
                </c:pt>
                <c:pt idx="5">
                  <c:v>0.48267052426206497</c:v>
                </c:pt>
                <c:pt idx="6">
                  <c:v>0.4973057085120698</c:v>
                </c:pt>
                <c:pt idx="7">
                  <c:v>0.48286857062318445</c:v>
                </c:pt>
                <c:pt idx="8">
                  <c:v>0.5644113076846999</c:v>
                </c:pt>
                <c:pt idx="9">
                  <c:v>0.3558982137885852</c:v>
                </c:pt>
                <c:pt idx="10">
                  <c:v>0.44919003432326826</c:v>
                </c:pt>
                <c:pt idx="11">
                  <c:v>0.5305254854191902</c:v>
                </c:pt>
                <c:pt idx="12">
                  <c:v>0.9336122472535302</c:v>
                </c:pt>
                <c:pt idx="13">
                  <c:v>0.5</c:v>
                </c:pt>
                <c:pt idx="14">
                  <c:v>0.3989691761005835</c:v>
                </c:pt>
                <c:pt idx="15">
                  <c:v>0.5291973574032993</c:v>
                </c:pt>
                <c:pt idx="16">
                  <c:v>0.8809495354133137</c:v>
                </c:pt>
                <c:pt idx="17">
                  <c:v>0.6843371495104862</c:v>
                </c:pt>
                <c:pt idx="18">
                  <c:v>0.494257077919346</c:v>
                </c:pt>
                <c:pt idx="19">
                  <c:v>0.842832995630929</c:v>
                </c:pt>
                <c:pt idx="20">
                  <c:v>0.5963050462877302</c:v>
                </c:pt>
                <c:pt idx="21">
                  <c:v>0.6823390142410896</c:v>
                </c:pt>
                <c:pt idx="22">
                  <c:v>0.44732383660728225</c:v>
                </c:pt>
                <c:pt idx="23">
                  <c:v>0.47696098690145633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0.5251809588614426</c:v>
                </c:pt>
                <c:pt idx="3">
                  <c:v>-999</c:v>
                </c:pt>
                <c:pt idx="4">
                  <c:v>0.57642091452311</c:v>
                </c:pt>
                <c:pt idx="5">
                  <c:v>0.5546841428534514</c:v>
                </c:pt>
                <c:pt idx="6">
                  <c:v>-999</c:v>
                </c:pt>
                <c:pt idx="7">
                  <c:v>0.5143756570244257</c:v>
                </c:pt>
                <c:pt idx="8">
                  <c:v>-999</c:v>
                </c:pt>
                <c:pt idx="9">
                  <c:v>0.4993852055426493</c:v>
                </c:pt>
                <c:pt idx="10">
                  <c:v>0.5206675015256974</c:v>
                </c:pt>
                <c:pt idx="11">
                  <c:v>0.5344539542393223</c:v>
                </c:pt>
                <c:pt idx="12">
                  <c:v>0.540257068138102</c:v>
                </c:pt>
                <c:pt idx="13">
                  <c:v>-999</c:v>
                </c:pt>
                <c:pt idx="14">
                  <c:v>0.4588457760868829</c:v>
                </c:pt>
                <c:pt idx="15">
                  <c:v>0.6292773142174686</c:v>
                </c:pt>
                <c:pt idx="16">
                  <c:v>-999</c:v>
                </c:pt>
                <c:pt idx="17">
                  <c:v>0.4503434281183585</c:v>
                </c:pt>
                <c:pt idx="18">
                  <c:v>-999</c:v>
                </c:pt>
                <c:pt idx="19">
                  <c:v>0.478650647918603</c:v>
                </c:pt>
                <c:pt idx="20">
                  <c:v>0.502332537256041</c:v>
                </c:pt>
                <c:pt idx="21">
                  <c:v>-999</c:v>
                </c:pt>
                <c:pt idx="22">
                  <c:v>0.6805848050713442</c:v>
                </c:pt>
                <c:pt idx="23">
                  <c:v>0.5317075265630123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0.48780487592130967</c:v>
                </c:pt>
                <c:pt idx="4">
                  <c:v>-999</c:v>
                </c:pt>
                <c:pt idx="5">
                  <c:v>-999</c:v>
                </c:pt>
                <c:pt idx="6">
                  <c:v>0.2272727143419686</c:v>
                </c:pt>
                <c:pt idx="7">
                  <c:v>-999</c:v>
                </c:pt>
                <c:pt idx="8">
                  <c:v>0.1515183818136888</c:v>
                </c:pt>
                <c:pt idx="9">
                  <c:v>-999</c:v>
                </c:pt>
                <c:pt idx="10">
                  <c:v>-999</c:v>
                </c:pt>
                <c:pt idx="11">
                  <c:v>-999</c:v>
                </c:pt>
                <c:pt idx="12">
                  <c:v>-999</c:v>
                </c:pt>
                <c:pt idx="13">
                  <c:v>0.2749856853511289</c:v>
                </c:pt>
                <c:pt idx="14">
                  <c:v>-999</c:v>
                </c:pt>
                <c:pt idx="15">
                  <c:v>-999</c:v>
                </c:pt>
                <c:pt idx="16">
                  <c:v>0.3024854949396145</c:v>
                </c:pt>
                <c:pt idx="17">
                  <c:v>-999</c:v>
                </c:pt>
                <c:pt idx="18">
                  <c:v>1.0000000048450386</c:v>
                </c:pt>
                <c:pt idx="19">
                  <c:v>-999</c:v>
                </c:pt>
                <c:pt idx="20">
                  <c:v>-999</c:v>
                </c:pt>
                <c:pt idx="21">
                  <c:v>1.0000000376339626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3744754"/>
        <c:axId val="36831875"/>
      </c:scatterChart>
      <c:catAx>
        <c:axId val="20671080"/>
        <c:scaling>
          <c:orientation val="maxMin"/>
        </c:scaling>
        <c:axPos val="l"/>
        <c:delete val="0"/>
        <c:numFmt formatCode="General" sourceLinked="1"/>
        <c:majorTickMark val="out"/>
        <c:minorTickMark val="none"/>
        <c:tickLblPos val="none"/>
        <c:spPr>
          <a:ln w="3175">
            <a:noFill/>
          </a:ln>
        </c:spPr>
        <c:crossAx val="51821993"/>
        <c:crosses val="autoZero"/>
        <c:auto val="1"/>
        <c:lblOffset val="100"/>
        <c:tickLblSkip val="1"/>
        <c:noMultiLvlLbl val="0"/>
      </c:catAx>
      <c:valAx>
        <c:axId val="51821993"/>
        <c:scaling>
          <c:orientation val="minMax"/>
          <c:max val="1"/>
          <c:min val="0"/>
        </c:scaling>
        <c:axPos val="t"/>
        <c:delete val="0"/>
        <c:numFmt formatCode="General" sourceLinked="1"/>
        <c:majorTickMark val="none"/>
        <c:minorTickMark val="none"/>
        <c:tickLblPos val="none"/>
        <c:spPr>
          <a:ln w="3175">
            <a:noFill/>
          </a:ln>
        </c:spPr>
        <c:crossAx val="20671080"/>
        <c:crossesAt val="1"/>
        <c:crossBetween val="between"/>
        <c:dispUnits/>
        <c:majorUnit val="1"/>
      </c:valAx>
      <c:valAx>
        <c:axId val="63744754"/>
        <c:scaling>
          <c:orientation val="minMax"/>
          <c:max val="1"/>
          <c:min val="0"/>
        </c:scaling>
        <c:axPos val="t"/>
        <c:delete val="0"/>
        <c:numFmt formatCode="General" sourceLinked="1"/>
        <c:majorTickMark val="none"/>
        <c:minorTickMark val="none"/>
        <c:tickLblPos val="none"/>
        <c:spPr>
          <a:ln w="3175">
            <a:noFill/>
          </a:ln>
        </c:spPr>
        <c:crossAx val="36831875"/>
        <c:crosses val="max"/>
        <c:crossBetween val="midCat"/>
        <c:dispUnits/>
        <c:majorUnit val="0.1"/>
        <c:minorUnit val="0.020000000000000004"/>
      </c:valAx>
      <c:valAx>
        <c:axId val="36831875"/>
        <c:scaling>
          <c:orientation val="maxMin"/>
          <c:max val="29"/>
          <c:min val="0"/>
        </c:scaling>
        <c:axPos val="l"/>
        <c:delete val="0"/>
        <c:numFmt formatCode="General" sourceLinked="1"/>
        <c:majorTickMark val="none"/>
        <c:minorTickMark val="none"/>
        <c:tickLblPos val="none"/>
        <c:spPr>
          <a:ln w="3175">
            <a:noFill/>
          </a:ln>
        </c:spPr>
        <c:crossAx val="6374475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(B84016) BANKFIELD SURGERY, CALDERDALE PCT (5J6)</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463</v>
      </c>
      <c r="Q3" s="65"/>
      <c r="R3" s="66"/>
      <c r="S3" s="66"/>
      <c r="T3" s="66"/>
      <c r="U3" s="66"/>
      <c r="V3" s="66"/>
      <c r="W3" s="66"/>
      <c r="X3" s="66"/>
      <c r="Y3" s="66"/>
      <c r="Z3" s="66"/>
      <c r="AA3" s="66"/>
      <c r="AB3" s="66"/>
      <c r="AC3" s="66"/>
    </row>
    <row r="4" spans="2:29" ht="18" customHeight="1">
      <c r="B4" s="319" t="s">
        <v>523</v>
      </c>
      <c r="C4" s="320"/>
      <c r="D4" s="320"/>
      <c r="E4" s="320"/>
      <c r="F4" s="320"/>
      <c r="G4" s="321"/>
      <c r="H4" s="112"/>
      <c r="I4" s="112"/>
      <c r="J4" s="112"/>
      <c r="K4" s="112"/>
      <c r="L4" s="113"/>
      <c r="M4" s="65"/>
      <c r="N4" s="65"/>
      <c r="O4" s="65"/>
      <c r="P4" s="134" t="s">
        <v>464</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465</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360</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522</v>
      </c>
      <c r="C8" s="115"/>
      <c r="D8" s="115"/>
      <c r="E8" s="128">
        <f>VLOOKUP('Hide - Control'!A$3,'All practice data'!A:CA,4,FALSE)</f>
        <v>7996</v>
      </c>
      <c r="F8" s="310" t="str">
        <f>VLOOKUP('Hide - Control'!B4,'Hide - Calculation'!AY:BA,3,FALSE)</f>
        <v>Please note: Bowel screening indicators are based on less than 30 but over 12 months of data.</v>
      </c>
      <c r="G8" s="310"/>
      <c r="H8" s="310"/>
      <c r="I8" s="115"/>
      <c r="J8" s="115"/>
      <c r="K8" s="115"/>
      <c r="L8" s="115"/>
      <c r="M8" s="109"/>
      <c r="N8" s="314" t="s">
        <v>473</v>
      </c>
      <c r="O8" s="314"/>
      <c r="P8" s="314"/>
      <c r="Q8" s="314" t="s">
        <v>32</v>
      </c>
      <c r="R8" s="314"/>
      <c r="S8" s="314"/>
      <c r="T8" s="314" t="s">
        <v>526</v>
      </c>
      <c r="U8" s="314"/>
      <c r="V8" s="314" t="s">
        <v>33</v>
      </c>
      <c r="W8" s="314"/>
      <c r="X8" s="314"/>
      <c r="Y8" s="135"/>
      <c r="Z8" s="314" t="s">
        <v>466</v>
      </c>
      <c r="AA8" s="314"/>
      <c r="AB8" s="161"/>
      <c r="AC8" s="109"/>
    </row>
    <row r="9" spans="2:29" s="61" customFormat="1" ht="19.5" customHeight="1" thickBot="1">
      <c r="B9" s="114" t="s">
        <v>458</v>
      </c>
      <c r="C9" s="114"/>
      <c r="D9" s="114"/>
      <c r="E9" s="129">
        <f>VLOOKUP('Hide - Control'!B4,'Hide - Calculation'!AY:BB,4,FALSE)</f>
        <v>208863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455</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436</v>
      </c>
      <c r="E11" s="317"/>
      <c r="F11" s="318"/>
      <c r="G11" s="263" t="s">
        <v>434</v>
      </c>
      <c r="H11" s="255" t="s">
        <v>435</v>
      </c>
      <c r="I11" s="255" t="s">
        <v>446</v>
      </c>
      <c r="J11" s="255" t="s">
        <v>447</v>
      </c>
      <c r="K11" s="255" t="s">
        <v>318</v>
      </c>
      <c r="L11" s="256" t="s">
        <v>360</v>
      </c>
      <c r="M11" s="257" t="s">
        <v>456</v>
      </c>
      <c r="N11" s="334" t="s">
        <v>454</v>
      </c>
      <c r="O11" s="334"/>
      <c r="P11" s="334"/>
      <c r="Q11" s="334"/>
      <c r="R11" s="334"/>
      <c r="S11" s="334"/>
      <c r="T11" s="334"/>
      <c r="U11" s="334"/>
      <c r="V11" s="334"/>
      <c r="W11" s="334"/>
      <c r="X11" s="334"/>
      <c r="Y11" s="334"/>
      <c r="Z11" s="334"/>
      <c r="AA11" s="258" t="s">
        <v>457</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1241</v>
      </c>
      <c r="H13" s="190">
        <f>IF(VLOOKUP('Hide - Control'!A$3,'All practice data'!A:CA,C13+30,FALSE)=" "," ",VLOOKUP('Hide - Control'!A$3,'All practice data'!A:CA,C13+30,FALSE))</f>
        <v>0.15520260130065033</v>
      </c>
      <c r="I13" s="191">
        <f>IF(LEFT(G13,1)=" "," n/a",+((2*G13+1.96^2-1.96*SQRT(1.96^2+4*G13*(1-G13/E$8)))/(2*(E$8+1.96^2))))</f>
        <v>0.14743155443078523</v>
      </c>
      <c r="J13" s="191">
        <f>IF(LEFT(G13,1)=" "," n/a",+((2*G13+1.96^2+1.96*SQRT(1.96^2+4*G13*(1-G13/E$8)))/(2*(E$8+1.96^2))))</f>
        <v>0.16330479814899587</v>
      </c>
      <c r="K13" s="190">
        <f>IF('Hide - Calculation'!N7="","",'Hide - Calculation'!N7)</f>
        <v>0.15439307105614686</v>
      </c>
      <c r="L13" s="192">
        <f>'Hide - Calculation'!O7</f>
        <v>0.1599882305185145</v>
      </c>
      <c r="M13" s="208">
        <f>IF(ISBLANK('Hide - Calculation'!K7),"",'Hide - Calculation'!U7)</f>
        <v>0.05564142018556595</v>
      </c>
      <c r="N13" s="173"/>
      <c r="O13" s="173"/>
      <c r="P13" s="173"/>
      <c r="Q13" s="173"/>
      <c r="R13" s="173"/>
      <c r="S13" s="173"/>
      <c r="T13" s="173"/>
      <c r="U13" s="173"/>
      <c r="V13" s="173"/>
      <c r="W13" s="173"/>
      <c r="X13" s="173"/>
      <c r="Y13" s="173"/>
      <c r="Z13" s="173"/>
      <c r="AA13" s="226">
        <f>IF(ISBLANK('Hide - Calculation'!K7),"",'Hide - Calculation'!T7)</f>
        <v>0.22821488976478577</v>
      </c>
      <c r="AB13" s="233" t="s">
        <v>520</v>
      </c>
      <c r="AC13" s="209" t="s">
        <v>521</v>
      </c>
    </row>
    <row r="14" spans="2:29" ht="33.75" customHeight="1">
      <c r="B14" s="306"/>
      <c r="C14" s="137">
        <v>2</v>
      </c>
      <c r="D14" s="132" t="s">
        <v>467</v>
      </c>
      <c r="E14" s="85"/>
      <c r="F14" s="85"/>
      <c r="G14" s="118" t="str">
        <f>IF(VLOOKUP('Hide - Control'!A$3,'All practice data'!A:CA,C14+4,FALSE)=" "," ",VLOOKUP('Hide - Control'!A$3,'All practice data'!A:CA,C14+4,FALSE))</f>
        <v>Quintile 3</v>
      </c>
      <c r="H14" s="119">
        <f>IF(VLOOKUP('Hide - Control'!A$3,'All practice data'!A:CA,C14+30,FALSE)=" "," ",VLOOKUP('Hide - Control'!A$3,'All practice data'!A:CA,C14+30,FALSE))</f>
        <v>0.15</v>
      </c>
      <c r="I14" s="120">
        <f>IF(LEFT(G14,1)=" "," n/a",+((2*H14*E8+1.96^2-1.96*SQRT(1.96^2+4*H14*E8*(1-H14*E8/E$8)))/(2*(E$8+1.96^2))))</f>
        <v>0.14234151847067247</v>
      </c>
      <c r="J14" s="120">
        <f>IF(LEFT(G14,1)=" "," n/a",+((2*H14*E8+1.96^2+1.96*SQRT(1.96^2+4*H14*E8*(1-H14*E8/E$8)))/(2*(E$8+1.96^2))))</f>
        <v>0.1579946281850313</v>
      </c>
      <c r="K14" s="119">
        <f>IF('Hide - Calculation'!N8="","",'Hide - Calculation'!N8)</f>
        <v>0.15862402627559694</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0.36000001430511475</v>
      </c>
      <c r="AB14" s="234" t="s">
        <v>39</v>
      </c>
      <c r="AC14" s="130" t="s">
        <v>521</v>
      </c>
    </row>
    <row r="15" spans="2:39" s="63" customFormat="1" ht="33.75" customHeight="1">
      <c r="B15" s="306"/>
      <c r="C15" s="137">
        <v>3</v>
      </c>
      <c r="D15" s="132" t="s">
        <v>321</v>
      </c>
      <c r="E15" s="85"/>
      <c r="F15" s="85"/>
      <c r="G15" s="121">
        <f>IF(VLOOKUP('Hide - Control'!A$3,'All practice data'!A:CA,C15+4,FALSE)=" "," ",VLOOKUP('Hide - Control'!A$3,'All practice data'!A:CA,C15+4,FALSE))</f>
        <v>43</v>
      </c>
      <c r="H15" s="122">
        <f>IF(VLOOKUP('Hide - Control'!A$3,'All practice data'!A:CA,C15+30,FALSE)=" "," ",VLOOKUP('Hide - Control'!A$3,'All practice data'!A:CA,C15+30,FALSE))</f>
        <v>537.7688844422211</v>
      </c>
      <c r="I15" s="123">
        <f>IF(LEFT(G15,1)=" "," n/a",IF(G15&lt;5,100000*VLOOKUP(G15,'Hide - Calculation'!AQ:AR,2,FALSE)/$E$8,100000*(G15*(1-1/(9*G15)-1.96/(3*SQRT(G15)))^3)/$E$8))</f>
        <v>389.14432782199555</v>
      </c>
      <c r="J15" s="123">
        <f>IF(LEFT(G15,1)=" "," n/a",IF(G15&lt;5,100000*VLOOKUP(G15,'Hide - Calculation'!AQ:AS,3,FALSE)/$E$8,100000*((G15+1)*(1-1/(9*(G15+1))+1.96/(3*SQRT(G15+1)))^3)/$E$8))</f>
        <v>724.3926773160817</v>
      </c>
      <c r="K15" s="122">
        <f>IF('Hide - Calculation'!N9="","",'Hide - Calculation'!N9)</f>
        <v>495.06135600848404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761.5230712890625</v>
      </c>
      <c r="AB15" s="234" t="s">
        <v>437</v>
      </c>
      <c r="AC15" s="131">
        <v>2009</v>
      </c>
      <c r="AD15" s="64"/>
      <c r="AE15" s="64"/>
      <c r="AF15" s="64"/>
      <c r="AG15" s="64"/>
      <c r="AH15" s="64"/>
      <c r="AI15" s="64"/>
      <c r="AJ15" s="64"/>
      <c r="AK15" s="64"/>
      <c r="AL15" s="64"/>
      <c r="AM15" s="64"/>
    </row>
    <row r="16" spans="2:29" s="63" customFormat="1" ht="33.75" customHeight="1">
      <c r="B16" s="306"/>
      <c r="C16" s="137">
        <v>4</v>
      </c>
      <c r="D16" s="132" t="s">
        <v>459</v>
      </c>
      <c r="E16" s="85"/>
      <c r="F16" s="85"/>
      <c r="G16" s="121">
        <f>IF(VLOOKUP('Hide - Control'!A$3,'All practice data'!A:CA,C16+4,FALSE)=" "," ",VLOOKUP('Hide - Control'!A$3,'All practice data'!A:CA,C16+4,FALSE))</f>
        <v>22</v>
      </c>
      <c r="H16" s="122">
        <f>IF(VLOOKUP('Hide - Control'!A$3,'All practice data'!A:CA,C16+30,FALSE)=" "," ",VLOOKUP('Hide - Control'!A$3,'All practice data'!A:CA,C16+30,FALSE))</f>
        <v>275.1375687843922</v>
      </c>
      <c r="I16" s="123">
        <f>IF(LEFT(G16,1)=" "," n/a",IF(G16&lt;5,100000*VLOOKUP(G16,'Hide - Calculation'!AQ:AR,2,FALSE)/$E$8,100000*(G16*(1-1/(9*G16)-1.96/(3*SQRT(G16)))^3)/$E$8))</f>
        <v>172.3657960327758</v>
      </c>
      <c r="J16" s="123">
        <f>IF(LEFT(G16,1)=" "," n/a",IF(G16&lt;5,100000*VLOOKUP(G16,'Hide - Calculation'!AQ:AS,3,FALSE)/$E$8,100000*((G16+1)*(1-1/(9*(G16+1))+1.96/(3*SQRT(G16+1)))^3)/$E$8))</f>
        <v>416.58329010352793</v>
      </c>
      <c r="K16" s="122">
        <f>IF('Hide - Calculation'!N10="","",'Hide - Calculation'!N10)</f>
        <v>251.8397226890354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528.7648315429688</v>
      </c>
      <c r="AB16" s="234" t="s">
        <v>315</v>
      </c>
      <c r="AC16" s="131" t="s">
        <v>491</v>
      </c>
    </row>
    <row r="17" spans="2:29" s="63" customFormat="1" ht="33.75" customHeight="1" thickBot="1">
      <c r="B17" s="309"/>
      <c r="C17" s="180">
        <v>5</v>
      </c>
      <c r="D17" s="195" t="s">
        <v>320</v>
      </c>
      <c r="E17" s="182"/>
      <c r="F17" s="182"/>
      <c r="G17" s="140">
        <f>IF(VLOOKUP('Hide - Control'!A$3,'All practice data'!A:CA,C17+4,FALSE)=" "," ",VLOOKUP('Hide - Control'!A$3,'All practice data'!A:CA,C17+4,FALSE))</f>
        <v>79</v>
      </c>
      <c r="H17" s="141">
        <f>IF(VLOOKUP('Hide - Control'!A$3,'All practice data'!A:CA,C17+30,FALSE)=" "," ",VLOOKUP('Hide - Control'!A$3,'All practice data'!A:CA,C17+30,FALSE))</f>
        <v>0.01</v>
      </c>
      <c r="I17" s="142">
        <f>IF(LEFT(G17,1)=" "," n/a",+((2*G17+1.96^2-1.96*SQRT(1.96^2+4*G17*(1-G17/E$8)))/(2*(E$8+1.96^2))))</f>
        <v>0.007935171663564389</v>
      </c>
      <c r="J17" s="142">
        <f>IF(LEFT(G17,1)=" "," n/a",+((2*G17+1.96^2+1.96*SQRT(1.96^2+4*G17*(1-G17/E$8)))/(2*(E$8+1.96^2))))</f>
        <v>0.012295428902326816</v>
      </c>
      <c r="K17" s="141">
        <f>IF('Hide - Calculation'!N11="","",'Hide - Calculation'!N11)</f>
        <v>0.016508428970186197</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0.02500000037252903</v>
      </c>
      <c r="AB17" s="235" t="s">
        <v>460</v>
      </c>
      <c r="AC17" s="189" t="s">
        <v>491</v>
      </c>
    </row>
    <row r="18" spans="2:29" s="63" customFormat="1" ht="33.75" customHeight="1">
      <c r="B18" s="308" t="s">
        <v>13</v>
      </c>
      <c r="C18" s="163">
        <v>6</v>
      </c>
      <c r="D18" s="164" t="s">
        <v>468</v>
      </c>
      <c r="E18" s="165"/>
      <c r="F18" s="165"/>
      <c r="G18" s="219">
        <f>IF(OR(VLOOKUP('Hide - Control'!A$3,'All practice data'!A:CA,C18+4,FALSE)=" ",VLOOKUP('Hide - Control'!A$3,'All practice data'!A:CA,C18+52,FALSE)=0)," n/a",VLOOKUP('Hide - Control'!A$3,'All practice data'!A:CA,C18+4,FALSE))</f>
        <v>727</v>
      </c>
      <c r="H18" s="220">
        <f>IF(OR(VLOOKUP('Hide - Control'!A$3,'All practice data'!A:CA,C18+30,FALSE)=" ",VLOOKUP('Hide - Control'!A$3,'All practice data'!A:CA,C18+52,FALSE)=0)," n/a",VLOOKUP('Hide - Control'!A$3,'All practice data'!A:CA,C18+30,FALSE))</f>
        <v>0.742594</v>
      </c>
      <c r="I18" s="191">
        <f>IF(OR(LEFT(H18,1)=" ",VLOOKUP('Hide - Control'!A$3,'All practice data'!A:CA,C18+52,FALSE)=0)," n/a",+((2*G18+1.96^2-1.96*SQRT(1.96^2+4*G18*(1-G18/(VLOOKUP('Hide - Control'!A$3,'All practice data'!A:CA,C18+52,FALSE)))))/(2*(((VLOOKUP('Hide - Control'!A$3,'All practice data'!A:CA,C18+52,FALSE)))+1.96^2))))</f>
        <v>0.7142960791017036</v>
      </c>
      <c r="J18" s="191">
        <f>IF(OR(LEFT(H18,1)=" ",VLOOKUP('Hide - Control'!A$3,'All practice data'!A:CA,C18+52,FALSE)=0)," n/a",+((2*G18+1.96^2+1.96*SQRT(1.96^2+4*G18*(1-G18/(VLOOKUP('Hide - Control'!A$3,'All practice data'!A:CA,C18+52,FALSE)))))/(2*((VLOOKUP('Hide - Control'!A$3,'All practice data'!A:CA,C18+52,FALSE))+1.96^2))))</f>
        <v>0.7689964473847618</v>
      </c>
      <c r="K18" s="220">
        <f>IF('Hide - Calculation'!N12="","",'Hide - Calculation'!N12)</f>
        <v>0.724393981063136</v>
      </c>
      <c r="L18" s="192">
        <f>'Hide - Calculation'!O12</f>
        <v>0.7248631360507991</v>
      </c>
      <c r="M18" s="193">
        <f>IF(ISBLANK('Hide - Calculation'!K12),"",'Hide - Calculation'!U12)</f>
        <v>0.453125</v>
      </c>
      <c r="N18" s="194"/>
      <c r="O18" s="173"/>
      <c r="P18" s="173"/>
      <c r="Q18" s="173"/>
      <c r="R18" s="173"/>
      <c r="S18" s="173"/>
      <c r="T18" s="173"/>
      <c r="U18" s="173"/>
      <c r="V18" s="173"/>
      <c r="W18" s="173"/>
      <c r="X18" s="173"/>
      <c r="Y18" s="173"/>
      <c r="Z18" s="174"/>
      <c r="AA18" s="193">
        <f>IF(ISBLANK('Hide - Calculation'!K12),"",'Hide - Calculation'!T12)</f>
        <v>0.8448280096054077</v>
      </c>
      <c r="AB18" s="233" t="s">
        <v>48</v>
      </c>
      <c r="AC18" s="175" t="s">
        <v>492</v>
      </c>
    </row>
    <row r="19" spans="2:29" s="63" customFormat="1" ht="33.75" customHeight="1">
      <c r="B19" s="306"/>
      <c r="C19" s="137">
        <v>7</v>
      </c>
      <c r="D19" s="132" t="s">
        <v>469</v>
      </c>
      <c r="E19" s="85"/>
      <c r="F19" s="85"/>
      <c r="G19" s="221">
        <f>IF(OR(VLOOKUP('Hide - Control'!A$3,'All practice data'!A:CA,C19+4,FALSE)=" ",VLOOKUP('Hide - Control'!A$3,'All practice data'!A:CA,C19+52,FALSE)=0)," n/a",VLOOKUP('Hide - Control'!A$3,'All practice data'!A:CA,C19+4,FALSE))</f>
        <v>9</v>
      </c>
      <c r="H19" s="218">
        <f>IF(OR(VLOOKUP('Hide - Control'!A$3,'All practice data'!A:CA,C19+30,FALSE)=" ",VLOOKUP('Hide - Control'!A$3,'All practice data'!A:CA,C19+52,FALSE)=0)," n/a",VLOOKUP('Hide - Control'!A$3,'All practice data'!A:CA,C19+30,FALSE))</f>
        <v>0.391304</v>
      </c>
      <c r="I19" s="120">
        <f>IF(OR(LEFT(H19,1)=" ",VLOOKUP('Hide - Control'!A$3,'All practice data'!A:CA,C19+52,FALSE)=0)," n/a",+((2*G19+1.96^2-1.96*SQRT(1.96^2+4*G19*(1-G19/(VLOOKUP('Hide - Control'!A$3,'All practice data'!A:CA,C19+52,FALSE)))))/(2*(((VLOOKUP('Hide - Control'!A$3,'All practice data'!A:CA,C19+52,FALSE)))+1.96^2))))</f>
        <v>0.22157377982382137</v>
      </c>
      <c r="J19" s="120">
        <f>IF(OR(LEFT(H19,1)=" ",VLOOKUP('Hide - Control'!A$3,'All practice data'!A:CA,C19+52,FALSE)=0)," n/a",+((2*G19+1.96^2+1.96*SQRT(1.96^2+4*G19*(1-G19/(VLOOKUP('Hide - Control'!A$3,'All practice data'!A:CA,C19+52,FALSE)))))/(2*((VLOOKUP('Hide - Control'!A$3,'All practice data'!A:CA,C19+52,FALSE))+1.96^2))))</f>
        <v>0.5921482039625401</v>
      </c>
      <c r="K19" s="218">
        <f>IF('Hide - Calculation'!N13="","",'Hide - Calculation'!N13)</f>
        <v>0.7541596227422368</v>
      </c>
      <c r="L19" s="155">
        <f>'Hide - Calculation'!O13</f>
        <v>0.7467412166569077</v>
      </c>
      <c r="M19" s="152">
        <f>IF(ISBLANK('Hide - Calculation'!K13),"",'Hide - Calculation'!U13)</f>
        <v>0.2608700096607208</v>
      </c>
      <c r="N19" s="160"/>
      <c r="O19" s="84"/>
      <c r="P19" s="84"/>
      <c r="Q19" s="84"/>
      <c r="R19" s="84"/>
      <c r="S19" s="84"/>
      <c r="T19" s="84"/>
      <c r="U19" s="84"/>
      <c r="V19" s="84"/>
      <c r="W19" s="84"/>
      <c r="X19" s="84"/>
      <c r="Y19" s="84"/>
      <c r="Z19" s="88"/>
      <c r="AA19" s="152">
        <f>IF(ISBLANK('Hide - Calculation'!K13),"",'Hide - Calculation'!T13)</f>
        <v>0.8218920230865479</v>
      </c>
      <c r="AB19" s="234" t="s">
        <v>48</v>
      </c>
      <c r="AC19" s="131" t="s">
        <v>491</v>
      </c>
    </row>
    <row r="20" spans="2:29" s="63" customFormat="1" ht="33.75" customHeight="1">
      <c r="B20" s="306"/>
      <c r="C20" s="137">
        <v>8</v>
      </c>
      <c r="D20" s="132" t="s">
        <v>470</v>
      </c>
      <c r="E20" s="85"/>
      <c r="F20" s="85"/>
      <c r="G20" s="221">
        <f>IF(OR(VLOOKUP('Hide - Control'!A$3,'All practice data'!A:CA,C20+4,FALSE)=" ",VLOOKUP('Hide - Control'!A$3,'All practice data'!A:CA,C20+52,FALSE)=0)," n/a",VLOOKUP('Hide - Control'!A$3,'All practice data'!A:CA,C20+4,FALSE))</f>
        <v>1607</v>
      </c>
      <c r="H20" s="218">
        <f>IF(OR(VLOOKUP('Hide - Control'!A$3,'All practice data'!A:CA,C20+30,FALSE)=" ",VLOOKUP('Hide - Control'!A$3,'All practice data'!A:CA,C20+52,FALSE)=0)," n/a",VLOOKUP('Hide - Control'!A$3,'All practice data'!A:CA,C20+30,FALSE))</f>
        <v>0.805918</v>
      </c>
      <c r="I20" s="120">
        <f>IF(OR(LEFT(H20,1)=" ",VLOOKUP('Hide - Control'!A$3,'All practice data'!A:CA,C20+52,FALSE)=0)," n/a",+((2*G20+1.96^2-1.96*SQRT(1.96^2+4*G20*(1-G20/(VLOOKUP('Hide - Control'!A$3,'All practice data'!A:CA,C20+52,FALSE)))))/(2*(((VLOOKUP('Hide - Control'!A$3,'All practice data'!A:CA,C20+52,FALSE)))+1.96^2))))</f>
        <v>0.7879769539946265</v>
      </c>
      <c r="J20" s="120">
        <f>IF(OR(LEFT(H20,1)=" ",VLOOKUP('Hide - Control'!A$3,'All practice data'!A:CA,C20+52,FALSE)=0)," n/a",+((2*G20+1.96^2+1.96*SQRT(1.96^2+4*G20*(1-G20/(VLOOKUP('Hide - Control'!A$3,'All practice data'!A:CA,C20+52,FALSE)))))/(2*((VLOOKUP('Hide - Control'!A$3,'All practice data'!A:CA,C20+52,FALSE))+1.96^2))))</f>
        <v>0.8226820692232303</v>
      </c>
      <c r="K20" s="218">
        <f>IF('Hide - Calculation'!N14="","",'Hide - Calculation'!N14)</f>
        <v>0.7985261807081332</v>
      </c>
      <c r="L20" s="155">
        <f>'Hide - Calculation'!O14</f>
        <v>0.7559681673907895</v>
      </c>
      <c r="M20" s="152">
        <f>IF(ISBLANK('Hide - Calculation'!K14),"",'Hide - Calculation'!U14)</f>
        <v>0.6320750117301941</v>
      </c>
      <c r="N20" s="160"/>
      <c r="O20" s="84"/>
      <c r="P20" s="84"/>
      <c r="Q20" s="84"/>
      <c r="R20" s="84"/>
      <c r="S20" s="84"/>
      <c r="T20" s="84"/>
      <c r="U20" s="84"/>
      <c r="V20" s="84"/>
      <c r="W20" s="84"/>
      <c r="X20" s="84"/>
      <c r="Y20" s="84"/>
      <c r="Z20" s="88"/>
      <c r="AA20" s="152">
        <f>IF(ISBLANK('Hide - Calculation'!K14),"",'Hide - Calculation'!T14)</f>
        <v>0.8771650195121765</v>
      </c>
      <c r="AB20" s="234" t="s">
        <v>48</v>
      </c>
      <c r="AC20" s="131" t="s">
        <v>493</v>
      </c>
    </row>
    <row r="21" spans="2:29" s="63" customFormat="1" ht="33.75" customHeight="1">
      <c r="B21" s="306"/>
      <c r="C21" s="137">
        <v>9</v>
      </c>
      <c r="D21" s="132" t="s">
        <v>471</v>
      </c>
      <c r="E21" s="85"/>
      <c r="F21" s="85"/>
      <c r="G21" s="221">
        <f>IF(OR(VLOOKUP('Hide - Control'!A$3,'All practice data'!A:CA,C21+4,FALSE)=" ",VLOOKUP('Hide - Control'!A$3,'All practice data'!A:CA,C21+52,FALSE)=0)," n/a",VLOOKUP('Hide - Control'!A$3,'All practice data'!A:CA,C21+4,FALSE))</f>
        <v>466</v>
      </c>
      <c r="H21" s="218">
        <f>IF(OR(VLOOKUP('Hide - Control'!A$3,'All practice data'!A:CA,C21+30,FALSE)=" ",VLOOKUP('Hide - Control'!A$3,'All practice data'!A:CA,C21+52,FALSE)=0)," n/a",VLOOKUP('Hide - Control'!A$3,'All practice data'!A:CA,C21+30,FALSE))</f>
        <v>0.550827</v>
      </c>
      <c r="I21" s="120">
        <f>IF(OR(LEFT(H21,1)=" ",VLOOKUP('Hide - Control'!A$3,'All practice data'!A:CA,C21+52,FALSE)=0)," n/a",+((2*G21+1.96^2-1.96*SQRT(1.96^2+4*G21*(1-G21/(VLOOKUP('Hide - Control'!A$3,'All practice data'!A:CA,C21+52,FALSE)))))/(2*(((VLOOKUP('Hide - Control'!A$3,'All practice data'!A:CA,C21+52,FALSE)))+1.96^2))))</f>
        <v>0.5171541643825478</v>
      </c>
      <c r="J21" s="120">
        <f>IF(OR(LEFT(H21,1)=" ",VLOOKUP('Hide - Control'!A$3,'All practice data'!A:CA,C21+52,FALSE)=0)," n/a",+((2*G21+1.96^2+1.96*SQRT(1.96^2+4*G21*(1-G21/(VLOOKUP('Hide - Control'!A$3,'All practice data'!A:CA,C21+52,FALSE)))))/(2*((VLOOKUP('Hide - Control'!A$3,'All practice data'!A:CA,C21+52,FALSE))+1.96^2))))</f>
        <v>0.584041164252812</v>
      </c>
      <c r="K21" s="218">
        <f>IF('Hide - Calculation'!N15="","",'Hide - Calculation'!N15)</f>
        <v>0.5557302585604472</v>
      </c>
      <c r="L21" s="155">
        <f>'Hide - Calculation'!O15</f>
        <v>0.5147293797466616</v>
      </c>
      <c r="M21" s="152">
        <f>IF(ISBLANK('Hide - Calculation'!K15),"",'Hide - Calculation'!U15)</f>
        <v>0.28787899017333984</v>
      </c>
      <c r="N21" s="160"/>
      <c r="O21" s="84"/>
      <c r="P21" s="84"/>
      <c r="Q21" s="84"/>
      <c r="R21" s="84"/>
      <c r="S21" s="84"/>
      <c r="T21" s="84"/>
      <c r="U21" s="84"/>
      <c r="V21" s="84"/>
      <c r="W21" s="84"/>
      <c r="X21" s="84"/>
      <c r="Y21" s="84"/>
      <c r="Z21" s="88"/>
      <c r="AA21" s="152">
        <f>IF(ISBLANK('Hide - Calculation'!K15),"",'Hide - Calculation'!T15)</f>
        <v>0.6507539749145508</v>
      </c>
      <c r="AB21" s="234" t="s">
        <v>48</v>
      </c>
      <c r="AC21" s="131" t="s">
        <v>492</v>
      </c>
    </row>
    <row r="22" spans="2:29" s="63" customFormat="1" ht="33.75" customHeight="1" thickBot="1">
      <c r="B22" s="309"/>
      <c r="C22" s="180">
        <v>10</v>
      </c>
      <c r="D22" s="195" t="s">
        <v>472</v>
      </c>
      <c r="E22" s="182"/>
      <c r="F22" s="182"/>
      <c r="G22" s="222">
        <f>IF(OR(VLOOKUP('Hide - Control'!A$3,'All practice data'!A:CA,C22+4,FALSE)=" ",VLOOKUP('Hide - Control'!A$3,'All practice data'!A:CA,C22+52,FALSE)=0)," n/a",VLOOKUP('Hide - Control'!A$3,'All practice data'!A:CA,C22+4,FALSE))</f>
        <v>252</v>
      </c>
      <c r="H22" s="223">
        <f>IF(OR(VLOOKUP('Hide - Control'!A$3,'All practice data'!A:CA,C22+30,FALSE)=" ",VLOOKUP('Hide - Control'!A$3,'All practice data'!A:CA,C22+52,FALSE)=0)," n/a",VLOOKUP('Hide - Control'!A$3,'All practice data'!A:CA,C22+30,FALSE))</f>
        <v>0.577982</v>
      </c>
      <c r="I22" s="196">
        <f>IF(OR(LEFT(H22,1)=" ",VLOOKUP('Hide - Control'!A$3,'All practice data'!A:CA,C22+52,FALSE)=0)," n/a",+((2*G22+1.96^2-1.96*SQRT(1.96^2+4*G22*(1-G22/(VLOOKUP('Hide - Control'!A$3,'All practice data'!A:CA,C22+52,FALSE)))))/(2*(((VLOOKUP('Hide - Control'!A$3,'All practice data'!A:CA,C22+52,FALSE)))+1.96^2))))</f>
        <v>0.5311392703317704</v>
      </c>
      <c r="J22" s="196">
        <f>IF(OR(LEFT(H22,1)=" ",VLOOKUP('Hide - Control'!A$3,'All practice data'!A:CA,C22+52,FALSE)=0)," n/a",+((2*G22+1.96^2+1.96*SQRT(1.96^2+4*G22*(1-G22/(VLOOKUP('Hide - Control'!A$3,'All practice data'!A:CA,C22+52,FALSE)))))/(2*((VLOOKUP('Hide - Control'!A$3,'All practice data'!A:CA,C22+52,FALSE))+1.96^2))))</f>
        <v>0.6234618406136245</v>
      </c>
      <c r="K22" s="223">
        <f>IF('Hide - Calculation'!N16="","",'Hide - Calculation'!N16)</f>
        <v>0.5690444145356662</v>
      </c>
      <c r="L22" s="197">
        <f>'Hide - Calculation'!O16</f>
        <v>0.5752927626212945</v>
      </c>
      <c r="M22" s="198">
        <f>IF(ISBLANK('Hide - Calculation'!K16),"",'Hide - Calculation'!U16)</f>
        <v>0.21212099492549896</v>
      </c>
      <c r="N22" s="199"/>
      <c r="O22" s="91"/>
      <c r="P22" s="91"/>
      <c r="Q22" s="91"/>
      <c r="R22" s="91"/>
      <c r="S22" s="91"/>
      <c r="T22" s="91"/>
      <c r="U22" s="91"/>
      <c r="V22" s="91"/>
      <c r="W22" s="91"/>
      <c r="X22" s="91"/>
      <c r="Y22" s="91"/>
      <c r="Z22" s="188"/>
      <c r="AA22" s="198">
        <f>IF(ISBLANK('Hide - Calculation'!K16),"",'Hide - Calculation'!T16)</f>
        <v>0.6760799884796143</v>
      </c>
      <c r="AB22" s="235" t="s">
        <v>48</v>
      </c>
      <c r="AC22" s="189" t="s">
        <v>491</v>
      </c>
    </row>
    <row r="23" spans="2:29" s="63" customFormat="1" ht="33.75" customHeight="1">
      <c r="B23" s="308" t="s">
        <v>310</v>
      </c>
      <c r="C23" s="163">
        <v>11</v>
      </c>
      <c r="D23" s="179" t="s">
        <v>322</v>
      </c>
      <c r="E23" s="165"/>
      <c r="F23" s="165"/>
      <c r="G23" s="118">
        <f>IF(VLOOKUP('Hide - Control'!A$3,'All practice data'!A:CA,C23+4,FALSE)=" "," ",VLOOKUP('Hide - Control'!A$3,'All practice data'!A:CA,C23+4,FALSE))</f>
        <v>96</v>
      </c>
      <c r="H23" s="216">
        <f>IF(VLOOKUP('Hide - Control'!A$3,'All practice data'!A:CA,C23+30,FALSE)=" "," ",VLOOKUP('Hide - Control'!A$3,'All practice data'!A:CA,C23+30,FALSE))</f>
        <v>1200.600300150075</v>
      </c>
      <c r="I23" s="215">
        <f>IF(LEFT(G23,1)=" "," n/a",IF(G23&lt;5,100000*VLOOKUP(G23,'Hide - Calculation'!AQ:AR,2,FALSE)/$E$8,100000*(G23*(1-1/(9*G23)-1.96/(3*SQRT(G23)))^3)/$E$8))</f>
        <v>972.4621026085924</v>
      </c>
      <c r="J23" s="215">
        <f>IF(LEFT(G23,1)=" "," n/a",IF(G23&lt;5,100000*VLOOKUP(G23,'Hide - Calculation'!AQ:AS,3,FALSE)/$E$8,100000*((G23+1)*(1-1/(9*(G23+1))+1.96/(3*SQRT(G23+1)))^3)/$E$8))</f>
        <v>1466.1579870607538</v>
      </c>
      <c r="K23" s="216">
        <f>IF('Hide - Calculation'!N17="","",'Hide - Calculation'!N17)</f>
        <v>1229.992866137133</v>
      </c>
      <c r="L23" s="217">
        <f>'Hide - Calculation'!O17</f>
        <v>1812.1669120472948</v>
      </c>
      <c r="M23" s="170">
        <f>IF(ISBLANK('Hide - Calculation'!K17),"",'Hide - Calculation'!U17)</f>
        <v>360.63885498046875</v>
      </c>
      <c r="N23" s="171"/>
      <c r="O23" s="172"/>
      <c r="P23" s="172"/>
      <c r="Q23" s="172"/>
      <c r="R23" s="173"/>
      <c r="S23" s="173"/>
      <c r="T23" s="173"/>
      <c r="U23" s="173"/>
      <c r="V23" s="173"/>
      <c r="W23" s="173"/>
      <c r="X23" s="173"/>
      <c r="Y23" s="173"/>
      <c r="Z23" s="174"/>
      <c r="AA23" s="170">
        <f>IF(ISBLANK('Hide - Calculation'!K17),"",'Hide - Calculation'!T17)</f>
        <v>1861.2520751953125</v>
      </c>
      <c r="AB23" s="233" t="s">
        <v>26</v>
      </c>
      <c r="AC23" s="175" t="s">
        <v>491</v>
      </c>
    </row>
    <row r="24" spans="2:29" s="63" customFormat="1" ht="33.75" customHeight="1">
      <c r="B24" s="306"/>
      <c r="C24" s="137">
        <v>12</v>
      </c>
      <c r="D24" s="147" t="s">
        <v>478</v>
      </c>
      <c r="E24" s="85"/>
      <c r="F24" s="85"/>
      <c r="G24" s="118">
        <f>IF(VLOOKUP('Hide - Control'!A$3,'All practice data'!A:CA,C24+4,FALSE)=" "," ",VLOOKUP('Hide - Control'!A$3,'All practice data'!A:CA,C24+4,FALSE))</f>
        <v>96</v>
      </c>
      <c r="H24" s="119">
        <f>IF(VLOOKUP('Hide - Control'!A$3,'All practice data'!A:CA,C24+30,FALSE)=" "," ",VLOOKUP('Hide - Control'!A$3,'All practice data'!A:CA,C24+30,FALSE))</f>
        <v>0.6568659973</v>
      </c>
      <c r="I24" s="212">
        <f>IF(LEFT(VLOOKUP('Hide - Control'!A$3,'All practice data'!A:CA,C24+44,FALSE),1)=" "," n/a",VLOOKUP('Hide - Control'!A$3,'All practice data'!A:CA,C24+44,FALSE))</f>
        <v>0.5320635986</v>
      </c>
      <c r="J24" s="212">
        <f>IF(LEFT(VLOOKUP('Hide - Control'!A$3,'All practice data'!A:CA,C24+45,FALSE),1)=" "," n/a",VLOOKUP('Hide - Control'!A$3,'All practice data'!A:CA,C24+45,FALSE))</f>
        <v>0.8021458435</v>
      </c>
      <c r="K24" s="152" t="s">
        <v>525</v>
      </c>
      <c r="L24" s="213">
        <v>1</v>
      </c>
      <c r="M24" s="152">
        <f>IF(ISBLANK('Hide - Calculation'!K18),"",'Hide - Calculation'!U18)</f>
        <v>0.2375285029411316</v>
      </c>
      <c r="N24" s="86"/>
      <c r="O24" s="87"/>
      <c r="P24" s="87"/>
      <c r="Q24" s="87"/>
      <c r="R24" s="84"/>
      <c r="S24" s="84"/>
      <c r="T24" s="84"/>
      <c r="U24" s="84"/>
      <c r="V24" s="84"/>
      <c r="W24" s="84"/>
      <c r="X24" s="84"/>
      <c r="Y24" s="84"/>
      <c r="Z24" s="88"/>
      <c r="AA24" s="152">
        <f>IF(ISBLANK('Hide - Calculation'!K18),"",'Hide - Calculation'!T18)</f>
        <v>0.9735884666442871</v>
      </c>
      <c r="AB24" s="234" t="s">
        <v>26</v>
      </c>
      <c r="AC24" s="131" t="s">
        <v>491</v>
      </c>
    </row>
    <row r="25" spans="2:29" s="63" customFormat="1" ht="33.75" customHeight="1">
      <c r="B25" s="306"/>
      <c r="C25" s="137">
        <v>13</v>
      </c>
      <c r="D25" s="147" t="s">
        <v>317</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0.125</v>
      </c>
      <c r="I25" s="120">
        <f>IF(LEFT(G25,1)=" "," n/a",IF(G25=0," n/a",+((2*G25+1.96^2-1.96*SQRT(1.96^2+4*G25*(1-G25/G23)))/(2*(G23+1.96^2)))))</f>
        <v>0.07297128992395067</v>
      </c>
      <c r="J25" s="120">
        <f>IF(LEFT(G25,1)=" "," n/a",IF(G25=0," n/a",+((2*G25+1.96^2+1.96*SQRT(1.96^2+4*G25*(1-G25/G23)))/(2*(G23+1.96^2)))))</f>
        <v>0.2058864206896613</v>
      </c>
      <c r="K25" s="125">
        <f>IF('Hide - Calculation'!N19="","",'Hide - Calculation'!N19)</f>
        <v>0.13818606461658234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0.2678571343421936</v>
      </c>
      <c r="AB25" s="234" t="s">
        <v>26</v>
      </c>
      <c r="AC25" s="131" t="s">
        <v>491</v>
      </c>
    </row>
    <row r="26" spans="2:29" s="63" customFormat="1" ht="33.75" customHeight="1">
      <c r="B26" s="306"/>
      <c r="C26" s="137">
        <v>14</v>
      </c>
      <c r="D26" s="147" t="s">
        <v>461</v>
      </c>
      <c r="E26" s="85"/>
      <c r="F26" s="85"/>
      <c r="G26" s="121">
        <f>IF(VLOOKUP('Hide - Control'!A$3,'All practice data'!A:CA,C26+4,FALSE)=" "," ",VLOOKUP('Hide - Control'!A$3,'All practice data'!A:CA,C26+4,FALSE))</f>
        <v>23</v>
      </c>
      <c r="H26" s="119">
        <f>IF(VLOOKUP('Hide - Control'!A$3,'All practice data'!A:CA,C26+30,FALSE)=" "," ",VLOOKUP('Hide - Control'!A$3,'All practice data'!A:CA,C26+30,FALSE))</f>
        <v>0.5217391304347826</v>
      </c>
      <c r="I26" s="120">
        <f>IF(OR(LEFT(G26,1)=" ",LEFT(G25,1)=" ")," n/a",IF(G26=0," n/a",+((2*G25+1.96^2-1.96*SQRT(1.96^2+4*G25*(1-G25/G26)))/(2*(G26+1.96^2)))))</f>
        <v>0.3296242986421849</v>
      </c>
      <c r="J26" s="120">
        <f>IF(OR(LEFT(G26,1)=" ",LEFT(G25,1)=" ")," n/a",IF(G26=0," n/a",+((2*G25+1.96^2+1.96*SQRT(1.96^2+4*G25*(1-G25/G26)))/(2*(G26+1.96^2)))))</f>
        <v>0.7076313046005428</v>
      </c>
      <c r="K26" s="125">
        <f>IF('Hide - Calculation'!N20="","",'Hide - Calculation'!N20)</f>
        <v>0.4241338112305854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491</v>
      </c>
    </row>
    <row r="27" spans="2:29" s="63" customFormat="1" ht="33.75" customHeight="1">
      <c r="B27" s="306"/>
      <c r="C27" s="137">
        <v>15</v>
      </c>
      <c r="D27" s="147" t="s">
        <v>448</v>
      </c>
      <c r="E27" s="85"/>
      <c r="F27" s="85"/>
      <c r="G27" s="121">
        <f>IF(VLOOKUP('Hide - Control'!A$3,'All practice data'!A:CA,C27+4,FALSE)=" "," ",VLOOKUP('Hide - Control'!A$3,'All practice data'!A:CA,C27+4,FALSE))</f>
        <v>6</v>
      </c>
      <c r="H27" s="122">
        <f>IF(VLOOKUP('Hide - Control'!A$3,'All practice data'!A:CA,C27+30,FALSE)=" "," ",VLOOKUP('Hide - Control'!A$3,'All practice data'!A:CA,C27+30,FALSE))</f>
        <v>75.0375187593797</v>
      </c>
      <c r="I27" s="123">
        <f>IF(LEFT(G27,1)=" "," n/a",IF(G27&lt;5,100000*VLOOKUP(G27,'Hide - Calculation'!AQ:AR,2,FALSE)/$E$8,100000*(G27*(1-1/(9*G27)-1.96/(3*SQRT(G27)))^3)/$E$8))</f>
        <v>27.40045948829014</v>
      </c>
      <c r="J27" s="123">
        <f>IF(LEFT(G27,1)=" "," n/a",IF(G27&lt;5,100000*VLOOKUP(G27,'Hide - Calculation'!AQ:AS,3,FALSE)/$E$8,100000*((G27+1)*(1-1/(9*(G27+1))+1.96/(3*SQRT(G27+1)))^3)/$E$8))</f>
        <v>163.33035603649023</v>
      </c>
      <c r="K27" s="122">
        <f>IF('Hide - Calculation'!N21="","",'Hide - Calculation'!N21)</f>
        <v>207.31292761283711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440.0246276855469</v>
      </c>
      <c r="AB27" s="234" t="s">
        <v>26</v>
      </c>
      <c r="AC27" s="131" t="s">
        <v>491</v>
      </c>
    </row>
    <row r="28" spans="2:29" s="63" customFormat="1" ht="33.75" customHeight="1">
      <c r="B28" s="306"/>
      <c r="C28" s="137">
        <v>16</v>
      </c>
      <c r="D28" s="147" t="s">
        <v>449</v>
      </c>
      <c r="E28" s="85"/>
      <c r="F28" s="85"/>
      <c r="G28" s="121">
        <f>IF(VLOOKUP('Hide - Control'!A$3,'All practice data'!A:CA,C28+4,FALSE)=" "," ",VLOOKUP('Hide - Control'!A$3,'All practice data'!A:CA,C28+4,FALSE))</f>
        <v>13</v>
      </c>
      <c r="H28" s="122">
        <f>IF(VLOOKUP('Hide - Control'!A$3,'All practice data'!A:CA,C28+30,FALSE)=" "," ",VLOOKUP('Hide - Control'!A$3,'All practice data'!A:CA,C28+30,FALSE))</f>
        <v>162.58129064532267</v>
      </c>
      <c r="I28" s="123">
        <f>IF(LEFT(G28,1)=" "," n/a",IF(G28&lt;5,100000*VLOOKUP(G28,'Hide - Calculation'!AQ:AR,2,FALSE)/$E$8,100000*(G28*(1-1/(9*G28)-1.96/(3*SQRT(G28)))^3)/$E$8))</f>
        <v>86.48268750956137</v>
      </c>
      <c r="J28" s="123">
        <f>IF(LEFT(G28,1)=" "," n/a",IF(G28&lt;5,100000*VLOOKUP(G28,'Hide - Calculation'!AQ:AS,3,FALSE)/$E$8,100000*((G28+1)*(1-1/(9*(G28+1))+1.96/(3*SQRT(G28+1)))^3)/$E$8))</f>
        <v>278.0378993403249</v>
      </c>
      <c r="K28" s="122">
        <f>IF('Hide - Calculation'!N22="","",'Hide - Calculation'!N22)</f>
        <v>209.2280585838564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444.1624450683594</v>
      </c>
      <c r="AB28" s="234" t="s">
        <v>26</v>
      </c>
      <c r="AC28" s="131" t="s">
        <v>491</v>
      </c>
    </row>
    <row r="29" spans="2:29" s="63" customFormat="1" ht="33.75" customHeight="1">
      <c r="B29" s="306"/>
      <c r="C29" s="137">
        <v>17</v>
      </c>
      <c r="D29" s="147" t="s">
        <v>450</v>
      </c>
      <c r="E29" s="85"/>
      <c r="F29" s="85"/>
      <c r="G29" s="121">
        <f>IF(VLOOKUP('Hide - Control'!A$3,'All practice data'!A:CA,C29+4,FALSE)=" "," ",VLOOKUP('Hide - Control'!A$3,'All practice data'!A:CA,C29+4,FALSE))</f>
        <v>15</v>
      </c>
      <c r="H29" s="122">
        <f>IF(VLOOKUP('Hide - Control'!A$3,'All practice data'!A:CA,C29+30,FALSE)=" "," ",VLOOKUP('Hide - Control'!A$3,'All practice data'!A:CA,C29+30,FALSE))</f>
        <v>187.59379689844923</v>
      </c>
      <c r="I29" s="123">
        <f>IF(LEFT(G29,1)=" "," n/a",IF(G29&lt;5,100000*VLOOKUP(G29,'Hide - Calculation'!AQ:AR,2,FALSE)/$E$8,100000*(G29*(1-1/(9*G29)-1.96/(3*SQRT(G29)))^3)/$E$8))</f>
        <v>104.91707512157868</v>
      </c>
      <c r="J29" s="123">
        <f>IF(LEFT(G29,1)=" "," n/a",IF(G29&lt;5,100000*VLOOKUP(G29,'Hide - Calculation'!AQ:AS,3,FALSE)/$E$8,100000*((G29+1)*(1-1/(9*(G29+1))+1.96/(3*SQRT(G29+1)))^3)/$E$8))</f>
        <v>309.42751359819147</v>
      </c>
      <c r="K29" s="122">
        <f>IF('Hide - Calculation'!N23="","",'Hide - Calculation'!N23)</f>
        <v>73.25375964148748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187.5937957763672</v>
      </c>
      <c r="AB29" s="234" t="s">
        <v>26</v>
      </c>
      <c r="AC29" s="131" t="s">
        <v>491</v>
      </c>
    </row>
    <row r="30" spans="2:29" s="63" customFormat="1" ht="33.75" customHeight="1" thickBot="1">
      <c r="B30" s="309"/>
      <c r="C30" s="180">
        <v>18</v>
      </c>
      <c r="D30" s="181" t="s">
        <v>451</v>
      </c>
      <c r="E30" s="182"/>
      <c r="F30" s="182"/>
      <c r="G30" s="183">
        <f>IF(VLOOKUP('Hide - Control'!A$3,'All practice data'!A:CA,C30+4,FALSE)=" "," ",VLOOKUP('Hide - Control'!A$3,'All practice data'!A:CA,C30+4,FALSE))</f>
        <v>12</v>
      </c>
      <c r="H30" s="184">
        <f>IF(VLOOKUP('Hide - Control'!A$3,'All practice data'!A:CA,C30+30,FALSE)=" "," ",VLOOKUP('Hide - Control'!A$3,'All practice data'!A:CA,C30+30,FALSE))</f>
        <v>150.0750375187594</v>
      </c>
      <c r="I30" s="185">
        <f>IF(LEFT(G30,1)=" "," n/a",IF(G30&lt;5,100000*VLOOKUP(G30,'Hide - Calculation'!AQ:AR,2,FALSE)/$E$8,100000*(G30*(1-1/(9*G30)-1.96/(3*SQRT(G30)))^3)/$E$8))</f>
        <v>77.45659789734427</v>
      </c>
      <c r="J30" s="185">
        <f>IF(LEFT(G30,1)=" "," n/a",IF(G30&lt;5,100000*VLOOKUP(G30,'Hide - Calculation'!AQ:AS,3,FALSE)/$E$8,100000*((G30+1)*(1-1/(9*(G30+1))+1.96/(3*SQRT(G30+1)))^3)/$E$8))</f>
        <v>262.16904227250564</v>
      </c>
      <c r="K30" s="184">
        <f>IF('Hide - Calculation'!N24="","",'Hide - Calculation'!N24)</f>
        <v>209.70684132661123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397.9576416015625</v>
      </c>
      <c r="AB30" s="235" t="s">
        <v>26</v>
      </c>
      <c r="AC30" s="189" t="s">
        <v>491</v>
      </c>
    </row>
    <row r="31" spans="2:29" s="63" customFormat="1" ht="33.75" customHeight="1">
      <c r="B31" s="304" t="s">
        <v>319</v>
      </c>
      <c r="C31" s="163">
        <v>19</v>
      </c>
      <c r="D31" s="164" t="s">
        <v>323</v>
      </c>
      <c r="E31" s="165"/>
      <c r="F31" s="165"/>
      <c r="G31" s="166">
        <f>IF(VLOOKUP('Hide - Control'!A$3,'All practice data'!A:CA,C31+4,FALSE)=" "," ",VLOOKUP('Hide - Control'!A$3,'All practice data'!A:CA,C31+4,FALSE))</f>
        <v>39</v>
      </c>
      <c r="H31" s="167">
        <f>IF(VLOOKUP('Hide - Control'!A$3,'All practice data'!A:CA,C31+30,FALSE)=" "," ",VLOOKUP('Hide - Control'!A$3,'All practice data'!A:CA,C31+30,FALSE))</f>
        <v>487.743871935968</v>
      </c>
      <c r="I31" s="168">
        <f>IF(LEFT(G31,1)=" "," n/a",IF(G31&lt;5,100000*VLOOKUP(G31,'Hide - Calculation'!AQ:AR,2,FALSE)/$E$8,100000*(G31*(1-1/(9*G31)-1.96/(3*SQRT(G31)))^3)/$E$8))</f>
        <v>346.7895771669038</v>
      </c>
      <c r="J31" s="168">
        <f>IF(LEFT(G31,1)=" "," n/a",IF(G31&lt;5,100000*VLOOKUP(G31,'Hide - Calculation'!AQ:AS,3,FALSE)/$E$8,100000*((G31+1)*(1-1/(9*(G31+1))+1.96/(3*SQRT(G31+1)))^3)/$E$8))</f>
        <v>666.7836195138594</v>
      </c>
      <c r="K31" s="167">
        <f>IF('Hide - Calculation'!N25="","",'Hide - Calculation'!N25)</f>
        <v>524.267103316528</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884.244384765625</v>
      </c>
      <c r="AB31" s="233" t="s">
        <v>47</v>
      </c>
      <c r="AC31" s="175" t="s">
        <v>491</v>
      </c>
    </row>
    <row r="32" spans="2:29" s="63" customFormat="1" ht="33.75" customHeight="1">
      <c r="B32" s="305"/>
      <c r="C32" s="137">
        <v>20</v>
      </c>
      <c r="D32" s="132" t="s">
        <v>324</v>
      </c>
      <c r="E32" s="85"/>
      <c r="F32" s="85"/>
      <c r="G32" s="121">
        <f>IF(VLOOKUP('Hide - Control'!A$3,'All practice data'!A:CA,C32+4,FALSE)=" "," ",VLOOKUP('Hide - Control'!A$3,'All practice data'!A:CA,C32+4,FALSE))</f>
        <v>45</v>
      </c>
      <c r="H32" s="122">
        <f>IF(VLOOKUP('Hide - Control'!A$3,'All practice data'!A:CA,C32+30,FALSE)=" "," ",VLOOKUP('Hide - Control'!A$3,'All practice data'!A:CA,C32+30,FALSE))</f>
        <v>562.7813906953477</v>
      </c>
      <c r="I32" s="123">
        <f>IF(LEFT(G32,1)=" "," n/a",IF(G32&lt;5,100000*VLOOKUP(G32,'Hide - Calculation'!AQ:AR,2,FALSE)/$E$8,100000*(G32*(1-1/(9*G32)-1.96/(3*SQRT(G32)))^3)/$E$8))</f>
        <v>410.45594972546786</v>
      </c>
      <c r="J32" s="123">
        <f>IF(LEFT(G32,1)=" "," n/a",IF(G32&lt;5,100000*VLOOKUP(G32,'Hide - Calculation'!AQ:AS,3,FALSE)/$E$8,100000*((G32+1)*(1-1/(9*(G32+1))+1.96/(3*SQRT(G32+1)))^3)/$E$8))</f>
        <v>753.0672083755594</v>
      </c>
      <c r="K32" s="122">
        <f>IF('Hide - Calculation'!N26="","",'Hide - Calculation'!N26)</f>
        <v>342.80844381245123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562.7813720703125</v>
      </c>
      <c r="AB32" s="234" t="s">
        <v>47</v>
      </c>
      <c r="AC32" s="131" t="s">
        <v>491</v>
      </c>
    </row>
    <row r="33" spans="2:29" s="63" customFormat="1" ht="33.75" customHeight="1">
      <c r="B33" s="305"/>
      <c r="C33" s="137">
        <v>21</v>
      </c>
      <c r="D33" s="132" t="s">
        <v>326</v>
      </c>
      <c r="E33" s="85"/>
      <c r="F33" s="85"/>
      <c r="G33" s="121">
        <f>IF(VLOOKUP('Hide - Control'!A$3,'All practice data'!A:CA,C33+4,FALSE)=" "," ",VLOOKUP('Hide - Control'!A$3,'All practice data'!A:CA,C33+4,FALSE))</f>
        <v>108</v>
      </c>
      <c r="H33" s="122">
        <f>IF(VLOOKUP('Hide - Control'!A$3,'All practice data'!A:CA,C33+30,FALSE)=" "," ",VLOOKUP('Hide - Control'!A$3,'All practice data'!A:CA,C33+30,FALSE))</f>
        <v>1350.6753376688343</v>
      </c>
      <c r="I33" s="123">
        <f>IF(LEFT(G33,1)=" "," n/a",IF(G33&lt;5,100000*VLOOKUP(G33,'Hide - Calculation'!AQ:AR,2,FALSE)/$E$8,100000*(G33*(1-1/(9*G33)-1.96/(3*SQRT(G33)))^3)/$E$8))</f>
        <v>1107.958519899008</v>
      </c>
      <c r="J33" s="123">
        <f>IF(LEFT(G33,1)=" "," n/a",IF(G33&lt;5,100000*VLOOKUP(G33,'Hide - Calculation'!AQ:AS,3,FALSE)/$E$8,100000*((G33+1)*(1-1/(9*(G33+1))+1.96/(3*SQRT(G33+1)))^3)/$E$8))</f>
        <v>1630.7434813506743</v>
      </c>
      <c r="K33" s="122">
        <f>IF('Hide - Calculation'!N27="","",'Hide - Calculation'!N27)</f>
        <v>1159.6118029521745</v>
      </c>
      <c r="L33" s="156">
        <f>'Hide - Calculation'!O27</f>
        <v>1059.3522061277838</v>
      </c>
      <c r="M33" s="148">
        <f>IF(ISBLANK('Hide - Calculation'!K27),"",'Hide - Calculation'!U27)</f>
        <v>500.6827392578125</v>
      </c>
      <c r="N33" s="86"/>
      <c r="O33" s="87"/>
      <c r="P33" s="87"/>
      <c r="Q33" s="87"/>
      <c r="R33" s="84"/>
      <c r="S33" s="84"/>
      <c r="T33" s="84"/>
      <c r="U33" s="84"/>
      <c r="V33" s="84"/>
      <c r="W33" s="84"/>
      <c r="X33" s="84"/>
      <c r="Y33" s="84"/>
      <c r="Z33" s="88"/>
      <c r="AA33" s="148">
        <f>IF(ISBLANK('Hide - Calculation'!K27),"",'Hide - Calculation'!T27)</f>
        <v>1586.29443359375</v>
      </c>
      <c r="AB33" s="234" t="s">
        <v>47</v>
      </c>
      <c r="AC33" s="131" t="s">
        <v>491</v>
      </c>
    </row>
    <row r="34" spans="2:29" s="63" customFormat="1" ht="33.75" customHeight="1">
      <c r="B34" s="305"/>
      <c r="C34" s="137">
        <v>22</v>
      </c>
      <c r="D34" s="132" t="s">
        <v>325</v>
      </c>
      <c r="E34" s="85"/>
      <c r="F34" s="85"/>
      <c r="G34" s="118">
        <f>IF(VLOOKUP('Hide - Control'!A$3,'All practice data'!A:CA,C34+4,FALSE)=" "," ",VLOOKUP('Hide - Control'!A$3,'All practice data'!A:CA,C34+4,FALSE))</f>
        <v>52</v>
      </c>
      <c r="H34" s="122">
        <f>IF(VLOOKUP('Hide - Control'!A$3,'All practice data'!A:CA,C34+30,FALSE)=" "," ",VLOOKUP('Hide - Control'!A$3,'All practice data'!A:CA,C34+30,FALSE))</f>
        <v>650.3251625812907</v>
      </c>
      <c r="I34" s="123">
        <f>IF(LEFT(G34,1)=" "," n/a",IF(G34&lt;5,100000*VLOOKUP(G34,'Hide - Calculation'!AQ:AR,2,FALSE)/$E$8,100000*(G34*(1-1/(9*G34)-1.96/(3*SQRT(G34)))^3)/$E$8))</f>
        <v>485.6563052957534</v>
      </c>
      <c r="J34" s="123">
        <f>IF(LEFT(G34,1)=" "," n/a",IF(G34&lt;5,100000*VLOOKUP(G34,'Hide - Calculation'!AQ:AS,3,FALSE)/$E$8,100000*((G34+1)*(1-1/(9*(G34+1))+1.96/(3*SQRT(G34+1)))^3)/$E$8))</f>
        <v>852.836039033483</v>
      </c>
      <c r="K34" s="122">
        <f>IF('Hide - Calculation'!N28="","",'Hide - Calculation'!N28)</f>
        <v>610.4479970123957</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1226.734375</v>
      </c>
      <c r="AB34" s="234" t="s">
        <v>47</v>
      </c>
      <c r="AC34" s="131" t="s">
        <v>491</v>
      </c>
    </row>
    <row r="35" spans="2:29" s="63" customFormat="1" ht="33.75" customHeight="1">
      <c r="B35" s="305"/>
      <c r="C35" s="137">
        <v>23</v>
      </c>
      <c r="D35" s="138" t="s">
        <v>452</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453</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524</v>
      </c>
      <c r="C39" s="244"/>
      <c r="D39" s="244"/>
      <c r="E39" s="303" t="s">
        <v>528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477</v>
      </c>
      <c r="BE2" s="341"/>
      <c r="BF2" s="341"/>
      <c r="BG2" s="341"/>
      <c r="BH2" s="341"/>
      <c r="BI2" s="341"/>
      <c r="BJ2" s="342"/>
    </row>
    <row r="3" spans="1:82" s="72" customFormat="1" ht="76.5" customHeight="1">
      <c r="A3" s="266" t="s">
        <v>276</v>
      </c>
      <c r="B3" s="275" t="s">
        <v>277</v>
      </c>
      <c r="C3" s="276" t="s">
        <v>49</v>
      </c>
      <c r="D3" s="274" t="s">
        <v>462</v>
      </c>
      <c r="E3" s="267" t="s">
        <v>334</v>
      </c>
      <c r="F3" s="267" t="s">
        <v>445</v>
      </c>
      <c r="G3" s="267" t="s">
        <v>336</v>
      </c>
      <c r="H3" s="267" t="s">
        <v>337</v>
      </c>
      <c r="I3" s="267" t="s">
        <v>338</v>
      </c>
      <c r="J3" s="267" t="s">
        <v>486</v>
      </c>
      <c r="K3" s="267" t="s">
        <v>487</v>
      </c>
      <c r="L3" s="267" t="s">
        <v>488</v>
      </c>
      <c r="M3" s="267" t="s">
        <v>339</v>
      </c>
      <c r="N3" s="267" t="s">
        <v>340</v>
      </c>
      <c r="O3" s="267" t="s">
        <v>341</v>
      </c>
      <c r="P3" s="267" t="s">
        <v>476</v>
      </c>
      <c r="Q3" s="267" t="s">
        <v>342</v>
      </c>
      <c r="R3" s="267" t="s">
        <v>343</v>
      </c>
      <c r="S3" s="267" t="s">
        <v>344</v>
      </c>
      <c r="T3" s="267" t="s">
        <v>345</v>
      </c>
      <c r="U3" s="267" t="s">
        <v>346</v>
      </c>
      <c r="V3" s="267" t="s">
        <v>347</v>
      </c>
      <c r="W3" s="267" t="s">
        <v>348</v>
      </c>
      <c r="X3" s="267" t="s">
        <v>349</v>
      </c>
      <c r="Y3" s="267" t="s">
        <v>350</v>
      </c>
      <c r="Z3" s="267" t="s">
        <v>351</v>
      </c>
      <c r="AA3" s="267" t="s">
        <v>352</v>
      </c>
      <c r="AB3" s="267" t="s">
        <v>353</v>
      </c>
      <c r="AC3" s="267" t="s">
        <v>354</v>
      </c>
      <c r="AD3" s="268" t="s">
        <v>355</v>
      </c>
      <c r="AE3" s="268" t="s">
        <v>334</v>
      </c>
      <c r="AF3" s="269" t="s">
        <v>335</v>
      </c>
      <c r="AG3" s="268" t="s">
        <v>336</v>
      </c>
      <c r="AH3" s="268" t="s">
        <v>337</v>
      </c>
      <c r="AI3" s="268" t="s">
        <v>338</v>
      </c>
      <c r="AJ3" s="268" t="s">
        <v>486</v>
      </c>
      <c r="AK3" s="268" t="s">
        <v>487</v>
      </c>
      <c r="AL3" s="268" t="s">
        <v>488</v>
      </c>
      <c r="AM3" s="268" t="s">
        <v>339</v>
      </c>
      <c r="AN3" s="268" t="s">
        <v>340</v>
      </c>
      <c r="AO3" s="268" t="s">
        <v>341</v>
      </c>
      <c r="AP3" s="268" t="s">
        <v>476</v>
      </c>
      <c r="AQ3" s="268" t="s">
        <v>342</v>
      </c>
      <c r="AR3" s="268" t="s">
        <v>343</v>
      </c>
      <c r="AS3" s="268" t="s">
        <v>344</v>
      </c>
      <c r="AT3" s="268" t="s">
        <v>345</v>
      </c>
      <c r="AU3" s="268" t="s">
        <v>346</v>
      </c>
      <c r="AV3" s="268" t="s">
        <v>347</v>
      </c>
      <c r="AW3" s="268" t="s">
        <v>348</v>
      </c>
      <c r="AX3" s="268" t="s">
        <v>349</v>
      </c>
      <c r="AY3" s="270" t="s">
        <v>350</v>
      </c>
      <c r="AZ3" s="271" t="s">
        <v>351</v>
      </c>
      <c r="BA3" s="271" t="s">
        <v>352</v>
      </c>
      <c r="BB3" s="271" t="s">
        <v>353</v>
      </c>
      <c r="BC3" s="272" t="s">
        <v>354</v>
      </c>
      <c r="BD3" s="273" t="s">
        <v>474</v>
      </c>
      <c r="BE3" s="273" t="s">
        <v>475</v>
      </c>
      <c r="BF3" s="273" t="s">
        <v>482</v>
      </c>
      <c r="BG3" s="273" t="s">
        <v>483</v>
      </c>
      <c r="BH3" s="273" t="s">
        <v>481</v>
      </c>
      <c r="BI3" s="273" t="s">
        <v>484</v>
      </c>
      <c r="BJ3" s="273" t="s">
        <v>485</v>
      </c>
      <c r="BK3" s="73"/>
      <c r="BL3" s="73"/>
      <c r="BM3" s="73"/>
      <c r="BN3" s="73"/>
      <c r="BO3" s="73"/>
      <c r="BP3" s="73"/>
      <c r="BQ3" s="73"/>
      <c r="BR3" s="73"/>
      <c r="BS3" s="73"/>
      <c r="BT3" s="73"/>
      <c r="BU3" s="73"/>
      <c r="BV3" s="73"/>
      <c r="BW3" s="73"/>
      <c r="BX3" s="73"/>
      <c r="BY3" s="73"/>
      <c r="BZ3" s="73"/>
      <c r="CA3" s="73"/>
      <c r="CB3" s="73"/>
      <c r="CC3" s="73"/>
      <c r="CD3" s="73"/>
    </row>
    <row r="4" spans="1:66" ht="12.75">
      <c r="A4" s="79" t="s">
        <v>508</v>
      </c>
      <c r="B4" s="79" t="s">
        <v>296</v>
      </c>
      <c r="C4" s="79" t="s">
        <v>115</v>
      </c>
      <c r="D4" s="99">
        <v>7996</v>
      </c>
      <c r="E4" s="99">
        <v>1241</v>
      </c>
      <c r="F4" s="99" t="s">
        <v>332</v>
      </c>
      <c r="G4" s="99">
        <v>43</v>
      </c>
      <c r="H4" s="99">
        <v>22</v>
      </c>
      <c r="I4" s="99">
        <v>79</v>
      </c>
      <c r="J4" s="99">
        <v>727</v>
      </c>
      <c r="K4" s="99">
        <v>9</v>
      </c>
      <c r="L4" s="99">
        <v>1607</v>
      </c>
      <c r="M4" s="99">
        <v>466</v>
      </c>
      <c r="N4" s="99">
        <v>252</v>
      </c>
      <c r="O4" s="99">
        <v>96</v>
      </c>
      <c r="P4" s="159">
        <v>96</v>
      </c>
      <c r="Q4" s="99">
        <v>12</v>
      </c>
      <c r="R4" s="99">
        <v>23</v>
      </c>
      <c r="S4" s="99">
        <v>6</v>
      </c>
      <c r="T4" s="99">
        <v>13</v>
      </c>
      <c r="U4" s="99">
        <v>15</v>
      </c>
      <c r="V4" s="99">
        <v>12</v>
      </c>
      <c r="W4" s="99">
        <v>39</v>
      </c>
      <c r="X4" s="99">
        <v>45</v>
      </c>
      <c r="Y4" s="99">
        <v>108</v>
      </c>
      <c r="Z4" s="99">
        <v>52</v>
      </c>
      <c r="AA4" s="99" t="s">
        <v>527</v>
      </c>
      <c r="AB4" s="99" t="s">
        <v>527</v>
      </c>
      <c r="AC4" s="99" t="s">
        <v>527</v>
      </c>
      <c r="AD4" s="98" t="s">
        <v>309</v>
      </c>
      <c r="AE4" s="100">
        <v>0.15520260130065033</v>
      </c>
      <c r="AF4" s="100">
        <v>0.15</v>
      </c>
      <c r="AG4" s="98">
        <v>537.7688844422211</v>
      </c>
      <c r="AH4" s="98">
        <v>275.1375687843922</v>
      </c>
      <c r="AI4" s="100">
        <v>0.01</v>
      </c>
      <c r="AJ4" s="100">
        <v>0.742594</v>
      </c>
      <c r="AK4" s="100">
        <v>0.391304</v>
      </c>
      <c r="AL4" s="100">
        <v>0.805918</v>
      </c>
      <c r="AM4" s="100">
        <v>0.550827</v>
      </c>
      <c r="AN4" s="100">
        <v>0.577982</v>
      </c>
      <c r="AO4" s="98">
        <v>1200.600300150075</v>
      </c>
      <c r="AP4" s="158">
        <v>0.6568659973</v>
      </c>
      <c r="AQ4" s="100">
        <v>0.125</v>
      </c>
      <c r="AR4" s="100">
        <v>0.5217391304347826</v>
      </c>
      <c r="AS4" s="98">
        <v>75.0375187593797</v>
      </c>
      <c r="AT4" s="98">
        <v>162.58129064532267</v>
      </c>
      <c r="AU4" s="98">
        <v>187.59379689844923</v>
      </c>
      <c r="AV4" s="98">
        <v>150.0750375187594</v>
      </c>
      <c r="AW4" s="98">
        <v>487.743871935968</v>
      </c>
      <c r="AX4" s="98">
        <v>562.7813906953477</v>
      </c>
      <c r="AY4" s="98">
        <v>1350.6753376688343</v>
      </c>
      <c r="AZ4" s="98">
        <v>650.3251625812907</v>
      </c>
      <c r="BA4" s="100" t="s">
        <v>527</v>
      </c>
      <c r="BB4" s="100" t="s">
        <v>527</v>
      </c>
      <c r="BC4" s="100" t="s">
        <v>527</v>
      </c>
      <c r="BD4" s="158">
        <v>0.5320635986</v>
      </c>
      <c r="BE4" s="158">
        <v>0.8021458435</v>
      </c>
      <c r="BF4" s="162">
        <v>979</v>
      </c>
      <c r="BG4" s="162">
        <v>23</v>
      </c>
      <c r="BH4" s="162">
        <v>1994</v>
      </c>
      <c r="BI4" s="162">
        <v>846</v>
      </c>
      <c r="BJ4" s="162">
        <v>436</v>
      </c>
      <c r="BK4" s="97"/>
      <c r="BL4" s="97"/>
      <c r="BM4" s="97"/>
      <c r="BN4" s="97"/>
    </row>
    <row r="5" spans="1:66" ht="12.75">
      <c r="A5" s="79" t="s">
        <v>514</v>
      </c>
      <c r="B5" s="79" t="s">
        <v>302</v>
      </c>
      <c r="C5" s="79" t="s">
        <v>115</v>
      </c>
      <c r="D5" s="99">
        <v>7263</v>
      </c>
      <c r="E5" s="99">
        <v>799</v>
      </c>
      <c r="F5" s="99" t="s">
        <v>330</v>
      </c>
      <c r="G5" s="99">
        <v>32</v>
      </c>
      <c r="H5" s="99">
        <v>15</v>
      </c>
      <c r="I5" s="99">
        <v>86</v>
      </c>
      <c r="J5" s="99">
        <v>378</v>
      </c>
      <c r="K5" s="99">
        <v>10</v>
      </c>
      <c r="L5" s="99">
        <v>1310</v>
      </c>
      <c r="M5" s="99">
        <v>235</v>
      </c>
      <c r="N5" s="99">
        <v>118</v>
      </c>
      <c r="O5" s="99">
        <v>77</v>
      </c>
      <c r="P5" s="159">
        <v>77</v>
      </c>
      <c r="Q5" s="99">
        <v>11</v>
      </c>
      <c r="R5" s="99">
        <v>22</v>
      </c>
      <c r="S5" s="99">
        <v>26</v>
      </c>
      <c r="T5" s="99">
        <v>11</v>
      </c>
      <c r="U5" s="99">
        <v>6</v>
      </c>
      <c r="V5" s="99">
        <v>6</v>
      </c>
      <c r="W5" s="99">
        <v>34</v>
      </c>
      <c r="X5" s="99">
        <v>20</v>
      </c>
      <c r="Y5" s="99">
        <v>69</v>
      </c>
      <c r="Z5" s="99">
        <v>45</v>
      </c>
      <c r="AA5" s="99" t="s">
        <v>527</v>
      </c>
      <c r="AB5" s="99" t="s">
        <v>527</v>
      </c>
      <c r="AC5" s="99" t="s">
        <v>527</v>
      </c>
      <c r="AD5" s="98" t="s">
        <v>309</v>
      </c>
      <c r="AE5" s="100">
        <v>0.11000963789067879</v>
      </c>
      <c r="AF5" s="100">
        <v>0.24</v>
      </c>
      <c r="AG5" s="98">
        <v>440.5892881729313</v>
      </c>
      <c r="AH5" s="98">
        <v>206.52622883106156</v>
      </c>
      <c r="AI5" s="100">
        <v>0.012</v>
      </c>
      <c r="AJ5" s="100">
        <v>0.561664</v>
      </c>
      <c r="AK5" s="100">
        <v>0.294118</v>
      </c>
      <c r="AL5" s="100">
        <v>0.740531</v>
      </c>
      <c r="AM5" s="100">
        <v>0.430403</v>
      </c>
      <c r="AN5" s="100">
        <v>0.438662</v>
      </c>
      <c r="AO5" s="98">
        <v>1060.167974666116</v>
      </c>
      <c r="AP5" s="158">
        <v>0.7020833588000001</v>
      </c>
      <c r="AQ5" s="100">
        <v>0.14285714285714285</v>
      </c>
      <c r="AR5" s="100">
        <v>0.5</v>
      </c>
      <c r="AS5" s="98">
        <v>357.9787966405067</v>
      </c>
      <c r="AT5" s="98">
        <v>151.45256780944513</v>
      </c>
      <c r="AU5" s="98">
        <v>82.61049153242462</v>
      </c>
      <c r="AV5" s="98">
        <v>82.61049153242462</v>
      </c>
      <c r="AW5" s="98">
        <v>468.1261186837395</v>
      </c>
      <c r="AX5" s="98">
        <v>275.36830510808204</v>
      </c>
      <c r="AY5" s="98">
        <v>950.0206526228831</v>
      </c>
      <c r="AZ5" s="98">
        <v>619.5786864931846</v>
      </c>
      <c r="BA5" s="100" t="s">
        <v>527</v>
      </c>
      <c r="BB5" s="100" t="s">
        <v>527</v>
      </c>
      <c r="BC5" s="100" t="s">
        <v>527</v>
      </c>
      <c r="BD5" s="158">
        <v>0.5540732193</v>
      </c>
      <c r="BE5" s="158">
        <v>0.8774837494000001</v>
      </c>
      <c r="BF5" s="162">
        <v>673</v>
      </c>
      <c r="BG5" s="162">
        <v>34</v>
      </c>
      <c r="BH5" s="162">
        <v>1769</v>
      </c>
      <c r="BI5" s="162">
        <v>546</v>
      </c>
      <c r="BJ5" s="162">
        <v>269</v>
      </c>
      <c r="BK5" s="97"/>
      <c r="BL5" s="97"/>
      <c r="BM5" s="97"/>
      <c r="BN5" s="97"/>
    </row>
    <row r="6" spans="1:66" ht="12.75">
      <c r="A6" s="79" t="s">
        <v>515</v>
      </c>
      <c r="B6" s="79" t="s">
        <v>303</v>
      </c>
      <c r="C6" s="79" t="s">
        <v>115</v>
      </c>
      <c r="D6" s="99">
        <v>2327</v>
      </c>
      <c r="E6" s="99">
        <v>456</v>
      </c>
      <c r="F6" s="99" t="s">
        <v>329</v>
      </c>
      <c r="G6" s="99">
        <v>7</v>
      </c>
      <c r="H6" s="99">
        <v>8</v>
      </c>
      <c r="I6" s="99">
        <v>37</v>
      </c>
      <c r="J6" s="99">
        <v>223</v>
      </c>
      <c r="K6" s="99">
        <v>199</v>
      </c>
      <c r="L6" s="99">
        <v>442</v>
      </c>
      <c r="M6" s="99">
        <v>130</v>
      </c>
      <c r="N6" s="99">
        <v>67</v>
      </c>
      <c r="O6" s="99" t="s">
        <v>527</v>
      </c>
      <c r="P6" s="159" t="s">
        <v>527</v>
      </c>
      <c r="Q6" s="99" t="s">
        <v>527</v>
      </c>
      <c r="R6" s="99">
        <v>15</v>
      </c>
      <c r="S6" s="99" t="s">
        <v>527</v>
      </c>
      <c r="T6" s="99" t="s">
        <v>527</v>
      </c>
      <c r="U6" s="99" t="s">
        <v>527</v>
      </c>
      <c r="V6" s="99" t="s">
        <v>527</v>
      </c>
      <c r="W6" s="99" t="s">
        <v>527</v>
      </c>
      <c r="X6" s="99" t="s">
        <v>527</v>
      </c>
      <c r="Y6" s="99">
        <v>12</v>
      </c>
      <c r="Z6" s="99">
        <v>17</v>
      </c>
      <c r="AA6" s="99" t="s">
        <v>527</v>
      </c>
      <c r="AB6" s="99" t="s">
        <v>527</v>
      </c>
      <c r="AC6" s="99" t="s">
        <v>527</v>
      </c>
      <c r="AD6" s="98" t="s">
        <v>309</v>
      </c>
      <c r="AE6" s="100">
        <v>0.1959604641168887</v>
      </c>
      <c r="AF6" s="100">
        <v>0.18</v>
      </c>
      <c r="AG6" s="98">
        <v>300.81650193382035</v>
      </c>
      <c r="AH6" s="98">
        <v>343.7902879243661</v>
      </c>
      <c r="AI6" s="100">
        <v>0.016</v>
      </c>
      <c r="AJ6" s="100">
        <v>0.799283</v>
      </c>
      <c r="AK6" s="100">
        <v>0.753788</v>
      </c>
      <c r="AL6" s="100">
        <v>0.808044</v>
      </c>
      <c r="AM6" s="100">
        <v>0.52</v>
      </c>
      <c r="AN6" s="100">
        <v>0.544715</v>
      </c>
      <c r="AO6" s="98" t="s">
        <v>527</v>
      </c>
      <c r="AP6" s="158" t="s">
        <v>527</v>
      </c>
      <c r="AQ6" s="100" t="s">
        <v>527</v>
      </c>
      <c r="AR6" s="100" t="s">
        <v>527</v>
      </c>
      <c r="AS6" s="98" t="s">
        <v>527</v>
      </c>
      <c r="AT6" s="98" t="s">
        <v>527</v>
      </c>
      <c r="AU6" s="98" t="s">
        <v>527</v>
      </c>
      <c r="AV6" s="98" t="s">
        <v>527</v>
      </c>
      <c r="AW6" s="98" t="s">
        <v>527</v>
      </c>
      <c r="AX6" s="98" t="s">
        <v>527</v>
      </c>
      <c r="AY6" s="98">
        <v>515.6854318865492</v>
      </c>
      <c r="AZ6" s="98">
        <v>730.554361839278</v>
      </c>
      <c r="BA6" s="100" t="s">
        <v>527</v>
      </c>
      <c r="BB6" s="100" t="s">
        <v>527</v>
      </c>
      <c r="BC6" s="100" t="s">
        <v>527</v>
      </c>
      <c r="BD6" s="158" t="s">
        <v>527</v>
      </c>
      <c r="BE6" s="158" t="s">
        <v>527</v>
      </c>
      <c r="BF6" s="162">
        <v>279</v>
      </c>
      <c r="BG6" s="162">
        <v>264</v>
      </c>
      <c r="BH6" s="162">
        <v>547</v>
      </c>
      <c r="BI6" s="162">
        <v>250</v>
      </c>
      <c r="BJ6" s="162">
        <v>123</v>
      </c>
      <c r="BK6" s="97"/>
      <c r="BL6" s="97"/>
      <c r="BM6" s="97"/>
      <c r="BN6" s="97"/>
    </row>
    <row r="7" spans="1:66" ht="12.75">
      <c r="A7" s="79" t="s">
        <v>500</v>
      </c>
      <c r="B7" s="79" t="s">
        <v>288</v>
      </c>
      <c r="C7" s="79" t="s">
        <v>115</v>
      </c>
      <c r="D7" s="99">
        <v>9470</v>
      </c>
      <c r="E7" s="99">
        <v>1239</v>
      </c>
      <c r="F7" s="99" t="s">
        <v>333</v>
      </c>
      <c r="G7" s="99">
        <v>45</v>
      </c>
      <c r="H7" s="99">
        <v>22</v>
      </c>
      <c r="I7" s="99">
        <v>131</v>
      </c>
      <c r="J7" s="99">
        <v>922</v>
      </c>
      <c r="K7" s="99">
        <v>13</v>
      </c>
      <c r="L7" s="99">
        <v>2228</v>
      </c>
      <c r="M7" s="99">
        <v>677</v>
      </c>
      <c r="N7" s="99">
        <v>341</v>
      </c>
      <c r="O7" s="99">
        <v>119</v>
      </c>
      <c r="P7" s="159">
        <v>119</v>
      </c>
      <c r="Q7" s="99">
        <v>15</v>
      </c>
      <c r="R7" s="99">
        <v>30</v>
      </c>
      <c r="S7" s="99">
        <v>16</v>
      </c>
      <c r="T7" s="99">
        <v>21</v>
      </c>
      <c r="U7" s="99">
        <v>7</v>
      </c>
      <c r="V7" s="99">
        <v>23</v>
      </c>
      <c r="W7" s="99">
        <v>60</v>
      </c>
      <c r="X7" s="99">
        <v>30</v>
      </c>
      <c r="Y7" s="99">
        <v>118</v>
      </c>
      <c r="Z7" s="99">
        <v>50</v>
      </c>
      <c r="AA7" s="99" t="s">
        <v>527</v>
      </c>
      <c r="AB7" s="99" t="s">
        <v>527</v>
      </c>
      <c r="AC7" s="99" t="s">
        <v>527</v>
      </c>
      <c r="AD7" s="98" t="s">
        <v>309</v>
      </c>
      <c r="AE7" s="100">
        <v>0.13083421330517422</v>
      </c>
      <c r="AF7" s="100">
        <v>0.07</v>
      </c>
      <c r="AG7" s="98">
        <v>475.18479408658925</v>
      </c>
      <c r="AH7" s="98">
        <v>232.31256599788807</v>
      </c>
      <c r="AI7" s="100">
        <v>0.013999999999999999</v>
      </c>
      <c r="AJ7" s="100">
        <v>0.743548</v>
      </c>
      <c r="AK7" s="100">
        <v>0.52</v>
      </c>
      <c r="AL7" s="100">
        <v>0.877165</v>
      </c>
      <c r="AM7" s="100">
        <v>0.616576</v>
      </c>
      <c r="AN7" s="100">
        <v>0.625688</v>
      </c>
      <c r="AO7" s="98">
        <v>1256.5997888067582</v>
      </c>
      <c r="AP7" s="158">
        <v>0.7058465576</v>
      </c>
      <c r="AQ7" s="100">
        <v>0.12605042016806722</v>
      </c>
      <c r="AR7" s="100">
        <v>0.5</v>
      </c>
      <c r="AS7" s="98">
        <v>168.9545934530095</v>
      </c>
      <c r="AT7" s="98">
        <v>221.75290390707497</v>
      </c>
      <c r="AU7" s="98">
        <v>73.91763463569166</v>
      </c>
      <c r="AV7" s="98">
        <v>242.87222808870115</v>
      </c>
      <c r="AW7" s="98">
        <v>633.5797254487857</v>
      </c>
      <c r="AX7" s="98">
        <v>316.78986272439283</v>
      </c>
      <c r="AY7" s="98">
        <v>1246.040126715945</v>
      </c>
      <c r="AZ7" s="98">
        <v>527.9831045406547</v>
      </c>
      <c r="BA7" s="100" t="s">
        <v>527</v>
      </c>
      <c r="BB7" s="100" t="s">
        <v>527</v>
      </c>
      <c r="BC7" s="100" t="s">
        <v>527</v>
      </c>
      <c r="BD7" s="158">
        <v>0.5847353363</v>
      </c>
      <c r="BE7" s="158">
        <v>0.84465065</v>
      </c>
      <c r="BF7" s="162">
        <v>1240</v>
      </c>
      <c r="BG7" s="162">
        <v>25</v>
      </c>
      <c r="BH7" s="162">
        <v>2540</v>
      </c>
      <c r="BI7" s="162">
        <v>1098</v>
      </c>
      <c r="BJ7" s="162">
        <v>545</v>
      </c>
      <c r="BK7" s="97"/>
      <c r="BL7" s="97"/>
      <c r="BM7" s="97"/>
      <c r="BN7" s="97"/>
    </row>
    <row r="8" spans="1:66" ht="12.75">
      <c r="A8" s="79" t="s">
        <v>509</v>
      </c>
      <c r="B8" s="79" t="s">
        <v>297</v>
      </c>
      <c r="C8" s="79" t="s">
        <v>115</v>
      </c>
      <c r="D8" s="99">
        <v>2495</v>
      </c>
      <c r="E8" s="99">
        <v>469</v>
      </c>
      <c r="F8" s="99" t="s">
        <v>332</v>
      </c>
      <c r="G8" s="99">
        <v>19</v>
      </c>
      <c r="H8" s="99">
        <v>11</v>
      </c>
      <c r="I8" s="99">
        <v>31</v>
      </c>
      <c r="J8" s="99">
        <v>210</v>
      </c>
      <c r="K8" s="99" t="s">
        <v>527</v>
      </c>
      <c r="L8" s="99">
        <v>472</v>
      </c>
      <c r="M8" s="99">
        <v>152</v>
      </c>
      <c r="N8" s="99">
        <v>82</v>
      </c>
      <c r="O8" s="99">
        <v>13</v>
      </c>
      <c r="P8" s="159">
        <v>13</v>
      </c>
      <c r="Q8" s="99" t="s">
        <v>527</v>
      </c>
      <c r="R8" s="99">
        <v>7</v>
      </c>
      <c r="S8" s="99" t="s">
        <v>527</v>
      </c>
      <c r="T8" s="99" t="s">
        <v>527</v>
      </c>
      <c r="U8" s="99" t="s">
        <v>527</v>
      </c>
      <c r="V8" s="99" t="s">
        <v>527</v>
      </c>
      <c r="W8" s="99">
        <v>13</v>
      </c>
      <c r="X8" s="99">
        <v>7</v>
      </c>
      <c r="Y8" s="99">
        <v>27</v>
      </c>
      <c r="Z8" s="99">
        <v>14</v>
      </c>
      <c r="AA8" s="99" t="s">
        <v>527</v>
      </c>
      <c r="AB8" s="99" t="s">
        <v>527</v>
      </c>
      <c r="AC8" s="99" t="s">
        <v>527</v>
      </c>
      <c r="AD8" s="98" t="s">
        <v>309</v>
      </c>
      <c r="AE8" s="100">
        <v>0.18797595190380761</v>
      </c>
      <c r="AF8" s="100">
        <v>0.15</v>
      </c>
      <c r="AG8" s="98">
        <v>761.5230460921844</v>
      </c>
      <c r="AH8" s="98">
        <v>440.8817635270541</v>
      </c>
      <c r="AI8" s="100">
        <v>0.012</v>
      </c>
      <c r="AJ8" s="100">
        <v>0.702341</v>
      </c>
      <c r="AK8" s="100" t="s">
        <v>527</v>
      </c>
      <c r="AL8" s="100">
        <v>0.851986</v>
      </c>
      <c r="AM8" s="100">
        <v>0.496732</v>
      </c>
      <c r="AN8" s="100">
        <v>0.550336</v>
      </c>
      <c r="AO8" s="98">
        <v>521.0420841683367</v>
      </c>
      <c r="AP8" s="158">
        <v>0.266759758</v>
      </c>
      <c r="AQ8" s="100" t="s">
        <v>527</v>
      </c>
      <c r="AR8" s="100" t="s">
        <v>527</v>
      </c>
      <c r="AS8" s="98" t="s">
        <v>527</v>
      </c>
      <c r="AT8" s="98" t="s">
        <v>527</v>
      </c>
      <c r="AU8" s="98" t="s">
        <v>527</v>
      </c>
      <c r="AV8" s="98" t="s">
        <v>527</v>
      </c>
      <c r="AW8" s="98">
        <v>521.0420841683367</v>
      </c>
      <c r="AX8" s="98">
        <v>280.56112224448896</v>
      </c>
      <c r="AY8" s="98">
        <v>1082.1643286573146</v>
      </c>
      <c r="AZ8" s="98">
        <v>561.1222444889779</v>
      </c>
      <c r="BA8" s="100" t="s">
        <v>527</v>
      </c>
      <c r="BB8" s="100" t="s">
        <v>527</v>
      </c>
      <c r="BC8" s="100" t="s">
        <v>527</v>
      </c>
      <c r="BD8" s="158">
        <v>0.1420383453</v>
      </c>
      <c r="BE8" s="158">
        <v>0.4561673355</v>
      </c>
      <c r="BF8" s="162">
        <v>299</v>
      </c>
      <c r="BG8" s="162" t="s">
        <v>527</v>
      </c>
      <c r="BH8" s="162">
        <v>554</v>
      </c>
      <c r="BI8" s="162">
        <v>306</v>
      </c>
      <c r="BJ8" s="162">
        <v>149</v>
      </c>
      <c r="BK8" s="97"/>
      <c r="BL8" s="97"/>
      <c r="BM8" s="97"/>
      <c r="BN8" s="97"/>
    </row>
    <row r="9" spans="1:66" ht="12.75">
      <c r="A9" s="79" t="s">
        <v>517</v>
      </c>
      <c r="B9" s="79" t="s">
        <v>305</v>
      </c>
      <c r="C9" s="79" t="s">
        <v>115</v>
      </c>
      <c r="D9" s="99">
        <v>9159</v>
      </c>
      <c r="E9" s="99">
        <v>1189</v>
      </c>
      <c r="F9" s="99" t="s">
        <v>329</v>
      </c>
      <c r="G9" s="99">
        <v>41</v>
      </c>
      <c r="H9" s="99">
        <v>22</v>
      </c>
      <c r="I9" s="99">
        <v>118</v>
      </c>
      <c r="J9" s="99">
        <v>626</v>
      </c>
      <c r="K9" s="99">
        <v>14</v>
      </c>
      <c r="L9" s="99">
        <v>1555</v>
      </c>
      <c r="M9" s="99">
        <v>446</v>
      </c>
      <c r="N9" s="99">
        <v>220</v>
      </c>
      <c r="O9" s="99">
        <v>133</v>
      </c>
      <c r="P9" s="159">
        <v>133</v>
      </c>
      <c r="Q9" s="99">
        <v>13</v>
      </c>
      <c r="R9" s="99">
        <v>30</v>
      </c>
      <c r="S9" s="99">
        <v>27</v>
      </c>
      <c r="T9" s="99">
        <v>28</v>
      </c>
      <c r="U9" s="99">
        <v>8</v>
      </c>
      <c r="V9" s="99">
        <v>15</v>
      </c>
      <c r="W9" s="99">
        <v>47</v>
      </c>
      <c r="X9" s="99">
        <v>34</v>
      </c>
      <c r="Y9" s="99">
        <v>103</v>
      </c>
      <c r="Z9" s="99">
        <v>28</v>
      </c>
      <c r="AA9" s="99" t="s">
        <v>527</v>
      </c>
      <c r="AB9" s="99" t="s">
        <v>527</v>
      </c>
      <c r="AC9" s="99" t="s">
        <v>527</v>
      </c>
      <c r="AD9" s="98" t="s">
        <v>309</v>
      </c>
      <c r="AE9" s="100">
        <v>0.12981766568402664</v>
      </c>
      <c r="AF9" s="100">
        <v>0.21</v>
      </c>
      <c r="AG9" s="98">
        <v>447.64712304836775</v>
      </c>
      <c r="AH9" s="98">
        <v>240.2008952942461</v>
      </c>
      <c r="AI9" s="100">
        <v>0.013000000000000001</v>
      </c>
      <c r="AJ9" s="100">
        <v>0.613124</v>
      </c>
      <c r="AK9" s="100">
        <v>0.4</v>
      </c>
      <c r="AL9" s="100">
        <v>0.747596</v>
      </c>
      <c r="AM9" s="100">
        <v>0.493363</v>
      </c>
      <c r="AN9" s="100">
        <v>0.502283</v>
      </c>
      <c r="AO9" s="98">
        <v>1452.1235942788514</v>
      </c>
      <c r="AP9" s="158">
        <v>0.8819855499</v>
      </c>
      <c r="AQ9" s="100">
        <v>0.09774436090225563</v>
      </c>
      <c r="AR9" s="100">
        <v>0.43333333333333335</v>
      </c>
      <c r="AS9" s="98">
        <v>294.7920078611202</v>
      </c>
      <c r="AT9" s="98">
        <v>305.71023037449504</v>
      </c>
      <c r="AU9" s="98">
        <v>87.34578010699857</v>
      </c>
      <c r="AV9" s="98">
        <v>163.77333770062233</v>
      </c>
      <c r="AW9" s="98">
        <v>513.1564581286167</v>
      </c>
      <c r="AX9" s="98">
        <v>371.219565454744</v>
      </c>
      <c r="AY9" s="98">
        <v>1124.5769188776067</v>
      </c>
      <c r="AZ9" s="98">
        <v>305.71023037449504</v>
      </c>
      <c r="BA9" s="100" t="s">
        <v>527</v>
      </c>
      <c r="BB9" s="100" t="s">
        <v>527</v>
      </c>
      <c r="BC9" s="100" t="s">
        <v>527</v>
      </c>
      <c r="BD9" s="158">
        <v>0.7384680176</v>
      </c>
      <c r="BE9" s="158">
        <v>1.045252533</v>
      </c>
      <c r="BF9" s="162">
        <v>1021</v>
      </c>
      <c r="BG9" s="162">
        <v>35</v>
      </c>
      <c r="BH9" s="162">
        <v>2080</v>
      </c>
      <c r="BI9" s="162">
        <v>904</v>
      </c>
      <c r="BJ9" s="162">
        <v>438</v>
      </c>
      <c r="BK9" s="97"/>
      <c r="BL9" s="97"/>
      <c r="BM9" s="97"/>
      <c r="BN9" s="97"/>
    </row>
    <row r="10" spans="1:66" ht="12.75">
      <c r="A10" s="79" t="s">
        <v>504</v>
      </c>
      <c r="B10" s="79" t="s">
        <v>292</v>
      </c>
      <c r="C10" s="79" t="s">
        <v>115</v>
      </c>
      <c r="D10" s="99">
        <v>12519</v>
      </c>
      <c r="E10" s="99">
        <v>2241</v>
      </c>
      <c r="F10" s="99" t="s">
        <v>331</v>
      </c>
      <c r="G10" s="99">
        <v>72</v>
      </c>
      <c r="H10" s="99">
        <v>33</v>
      </c>
      <c r="I10" s="99">
        <v>265</v>
      </c>
      <c r="J10" s="99">
        <v>1388</v>
      </c>
      <c r="K10" s="99">
        <v>1363</v>
      </c>
      <c r="L10" s="99">
        <v>2567</v>
      </c>
      <c r="M10" s="99">
        <v>970</v>
      </c>
      <c r="N10" s="99">
        <v>479</v>
      </c>
      <c r="O10" s="99">
        <v>205</v>
      </c>
      <c r="P10" s="159">
        <v>205</v>
      </c>
      <c r="Q10" s="99">
        <v>16</v>
      </c>
      <c r="R10" s="99">
        <v>52</v>
      </c>
      <c r="S10" s="99">
        <v>40</v>
      </c>
      <c r="T10" s="99">
        <v>30</v>
      </c>
      <c r="U10" s="99">
        <v>19</v>
      </c>
      <c r="V10" s="99">
        <v>36</v>
      </c>
      <c r="W10" s="99">
        <v>82</v>
      </c>
      <c r="X10" s="99">
        <v>49</v>
      </c>
      <c r="Y10" s="99">
        <v>168</v>
      </c>
      <c r="Z10" s="99">
        <v>98</v>
      </c>
      <c r="AA10" s="99" t="s">
        <v>527</v>
      </c>
      <c r="AB10" s="99" t="s">
        <v>527</v>
      </c>
      <c r="AC10" s="99" t="s">
        <v>527</v>
      </c>
      <c r="AD10" s="98" t="s">
        <v>309</v>
      </c>
      <c r="AE10" s="100">
        <v>0.1790079079798706</v>
      </c>
      <c r="AF10" s="100">
        <v>0.11</v>
      </c>
      <c r="AG10" s="98">
        <v>575.1258087706685</v>
      </c>
      <c r="AH10" s="98">
        <v>263.59932901988975</v>
      </c>
      <c r="AI10" s="100">
        <v>0.021</v>
      </c>
      <c r="AJ10" s="100">
        <v>0.803241</v>
      </c>
      <c r="AK10" s="100">
        <v>0.809382</v>
      </c>
      <c r="AL10" s="100">
        <v>0.819866</v>
      </c>
      <c r="AM10" s="100">
        <v>0.589666</v>
      </c>
      <c r="AN10" s="100">
        <v>0.601004</v>
      </c>
      <c r="AO10" s="98">
        <v>1637.510983305376</v>
      </c>
      <c r="AP10" s="158">
        <v>0.8289801025</v>
      </c>
      <c r="AQ10" s="100">
        <v>0.07804878048780488</v>
      </c>
      <c r="AR10" s="100">
        <v>0.3076923076923077</v>
      </c>
      <c r="AS10" s="98">
        <v>319.514338205927</v>
      </c>
      <c r="AT10" s="98">
        <v>239.63575365444524</v>
      </c>
      <c r="AU10" s="98">
        <v>151.76931064781533</v>
      </c>
      <c r="AV10" s="98">
        <v>287.56290438533426</v>
      </c>
      <c r="AW10" s="98">
        <v>655.0043933221503</v>
      </c>
      <c r="AX10" s="98">
        <v>391.40506430226054</v>
      </c>
      <c r="AY10" s="98">
        <v>1341.9602204648934</v>
      </c>
      <c r="AZ10" s="98">
        <v>782.8101286045211</v>
      </c>
      <c r="BA10" s="100" t="s">
        <v>527</v>
      </c>
      <c r="BB10" s="100" t="s">
        <v>527</v>
      </c>
      <c r="BC10" s="100" t="s">
        <v>527</v>
      </c>
      <c r="BD10" s="158">
        <v>0.7193784332</v>
      </c>
      <c r="BE10" s="158">
        <v>0.9505596161</v>
      </c>
      <c r="BF10" s="162">
        <v>1728</v>
      </c>
      <c r="BG10" s="162">
        <v>1684</v>
      </c>
      <c r="BH10" s="162">
        <v>3131</v>
      </c>
      <c r="BI10" s="162">
        <v>1645</v>
      </c>
      <c r="BJ10" s="162">
        <v>797</v>
      </c>
      <c r="BK10" s="97"/>
      <c r="BL10" s="97"/>
      <c r="BM10" s="97"/>
      <c r="BN10" s="97"/>
    </row>
    <row r="11" spans="1:66" ht="12.75">
      <c r="A11" s="79" t="s">
        <v>510</v>
      </c>
      <c r="B11" s="79" t="s">
        <v>298</v>
      </c>
      <c r="C11" s="79" t="s">
        <v>115</v>
      </c>
      <c r="D11" s="99">
        <v>8074</v>
      </c>
      <c r="E11" s="99">
        <v>1346</v>
      </c>
      <c r="F11" s="99" t="s">
        <v>332</v>
      </c>
      <c r="G11" s="99">
        <v>38</v>
      </c>
      <c r="H11" s="99">
        <v>20</v>
      </c>
      <c r="I11" s="99">
        <v>129</v>
      </c>
      <c r="J11" s="99">
        <v>686</v>
      </c>
      <c r="K11" s="99">
        <v>671</v>
      </c>
      <c r="L11" s="99">
        <v>1675</v>
      </c>
      <c r="M11" s="99">
        <v>465</v>
      </c>
      <c r="N11" s="99">
        <v>233</v>
      </c>
      <c r="O11" s="99">
        <v>128</v>
      </c>
      <c r="P11" s="159">
        <v>128</v>
      </c>
      <c r="Q11" s="99">
        <v>18</v>
      </c>
      <c r="R11" s="99">
        <v>46</v>
      </c>
      <c r="S11" s="99">
        <v>13</v>
      </c>
      <c r="T11" s="99">
        <v>22</v>
      </c>
      <c r="U11" s="99" t="s">
        <v>527</v>
      </c>
      <c r="V11" s="99">
        <v>18</v>
      </c>
      <c r="W11" s="99">
        <v>51</v>
      </c>
      <c r="X11" s="99">
        <v>33</v>
      </c>
      <c r="Y11" s="99">
        <v>97</v>
      </c>
      <c r="Z11" s="99">
        <v>49</v>
      </c>
      <c r="AA11" s="99" t="s">
        <v>527</v>
      </c>
      <c r="AB11" s="99" t="s">
        <v>527</v>
      </c>
      <c r="AC11" s="99" t="s">
        <v>527</v>
      </c>
      <c r="AD11" s="98" t="s">
        <v>309</v>
      </c>
      <c r="AE11" s="100">
        <v>0.16670795144909586</v>
      </c>
      <c r="AF11" s="100">
        <v>0.14</v>
      </c>
      <c r="AG11" s="98">
        <v>470.6465196928412</v>
      </c>
      <c r="AH11" s="98">
        <v>247.70869457517958</v>
      </c>
      <c r="AI11" s="100">
        <v>0.016</v>
      </c>
      <c r="AJ11" s="100">
        <v>0.742424</v>
      </c>
      <c r="AK11" s="100">
        <v>0.756483</v>
      </c>
      <c r="AL11" s="100">
        <v>0.814689</v>
      </c>
      <c r="AM11" s="100">
        <v>0.534483</v>
      </c>
      <c r="AN11" s="100">
        <v>0.554762</v>
      </c>
      <c r="AO11" s="98">
        <v>1585.3356452811495</v>
      </c>
      <c r="AP11" s="158">
        <v>0.8462221527</v>
      </c>
      <c r="AQ11" s="100">
        <v>0.140625</v>
      </c>
      <c r="AR11" s="100">
        <v>0.391304347826087</v>
      </c>
      <c r="AS11" s="98">
        <v>161.01065147386674</v>
      </c>
      <c r="AT11" s="98">
        <v>272.47956403269757</v>
      </c>
      <c r="AU11" s="98" t="s">
        <v>527</v>
      </c>
      <c r="AV11" s="98">
        <v>222.93782511766162</v>
      </c>
      <c r="AW11" s="98">
        <v>631.6571711667079</v>
      </c>
      <c r="AX11" s="98">
        <v>408.7193460490463</v>
      </c>
      <c r="AY11" s="98">
        <v>1201.387168689621</v>
      </c>
      <c r="AZ11" s="98">
        <v>606.88630170919</v>
      </c>
      <c r="BA11" s="100" t="s">
        <v>527</v>
      </c>
      <c r="BB11" s="100" t="s">
        <v>527</v>
      </c>
      <c r="BC11" s="100" t="s">
        <v>527</v>
      </c>
      <c r="BD11" s="158">
        <v>0.7059828949</v>
      </c>
      <c r="BE11" s="158">
        <v>1.006160889</v>
      </c>
      <c r="BF11" s="162">
        <v>924</v>
      </c>
      <c r="BG11" s="162">
        <v>887</v>
      </c>
      <c r="BH11" s="162">
        <v>2056</v>
      </c>
      <c r="BI11" s="162">
        <v>870</v>
      </c>
      <c r="BJ11" s="162">
        <v>420</v>
      </c>
      <c r="BK11" s="97"/>
      <c r="BL11" s="97"/>
      <c r="BM11" s="97"/>
      <c r="BN11" s="97"/>
    </row>
    <row r="12" spans="1:66" ht="12.75">
      <c r="A12" s="79" t="s">
        <v>497</v>
      </c>
      <c r="B12" s="79" t="s">
        <v>285</v>
      </c>
      <c r="C12" s="79" t="s">
        <v>115</v>
      </c>
      <c r="D12" s="99">
        <v>18949</v>
      </c>
      <c r="E12" s="99">
        <v>2830</v>
      </c>
      <c r="F12" s="99" t="s">
        <v>331</v>
      </c>
      <c r="G12" s="99">
        <v>74</v>
      </c>
      <c r="H12" s="99">
        <v>39</v>
      </c>
      <c r="I12" s="99">
        <v>370</v>
      </c>
      <c r="J12" s="99">
        <v>2071</v>
      </c>
      <c r="K12" s="99">
        <v>262</v>
      </c>
      <c r="L12" s="99">
        <v>4143</v>
      </c>
      <c r="M12" s="99">
        <v>1372</v>
      </c>
      <c r="N12" s="99">
        <v>699</v>
      </c>
      <c r="O12" s="99">
        <v>273</v>
      </c>
      <c r="P12" s="159">
        <v>273</v>
      </c>
      <c r="Q12" s="99">
        <v>36</v>
      </c>
      <c r="R12" s="99">
        <v>83</v>
      </c>
      <c r="S12" s="99">
        <v>37</v>
      </c>
      <c r="T12" s="99">
        <v>36</v>
      </c>
      <c r="U12" s="99">
        <v>11</v>
      </c>
      <c r="V12" s="99">
        <v>75</v>
      </c>
      <c r="W12" s="99">
        <v>87</v>
      </c>
      <c r="X12" s="99">
        <v>67</v>
      </c>
      <c r="Y12" s="99">
        <v>187</v>
      </c>
      <c r="Z12" s="99">
        <v>106</v>
      </c>
      <c r="AA12" s="99" t="s">
        <v>527</v>
      </c>
      <c r="AB12" s="99" t="s">
        <v>527</v>
      </c>
      <c r="AC12" s="99" t="s">
        <v>527</v>
      </c>
      <c r="AD12" s="98" t="s">
        <v>309</v>
      </c>
      <c r="AE12" s="100">
        <v>0.14934825056731227</v>
      </c>
      <c r="AF12" s="100">
        <v>0.1</v>
      </c>
      <c r="AG12" s="98">
        <v>390.5219272784843</v>
      </c>
      <c r="AH12" s="98">
        <v>205.81561032244446</v>
      </c>
      <c r="AI12" s="100">
        <v>0.02</v>
      </c>
      <c r="AJ12" s="100">
        <v>0.76</v>
      </c>
      <c r="AK12" s="100">
        <v>0.691293</v>
      </c>
      <c r="AL12" s="100">
        <v>0.794896</v>
      </c>
      <c r="AM12" s="100">
        <v>0.580372</v>
      </c>
      <c r="AN12" s="100">
        <v>0.587889</v>
      </c>
      <c r="AO12" s="98">
        <v>1440.7092722571113</v>
      </c>
      <c r="AP12" s="158">
        <v>0.7428842163</v>
      </c>
      <c r="AQ12" s="100">
        <v>0.13186813186813187</v>
      </c>
      <c r="AR12" s="100">
        <v>0.43373493975903615</v>
      </c>
      <c r="AS12" s="98">
        <v>195.26096363924216</v>
      </c>
      <c r="AT12" s="98">
        <v>189.98364029764105</v>
      </c>
      <c r="AU12" s="98">
        <v>58.05055675761254</v>
      </c>
      <c r="AV12" s="98">
        <v>395.7992506200855</v>
      </c>
      <c r="AW12" s="98">
        <v>459.12713071929915</v>
      </c>
      <c r="AX12" s="98">
        <v>353.5806638872764</v>
      </c>
      <c r="AY12" s="98">
        <v>986.8594648794132</v>
      </c>
      <c r="AZ12" s="98">
        <v>559.3962742097208</v>
      </c>
      <c r="BA12" s="100" t="s">
        <v>527</v>
      </c>
      <c r="BB12" s="100" t="s">
        <v>527</v>
      </c>
      <c r="BC12" s="100" t="s">
        <v>527</v>
      </c>
      <c r="BD12" s="158">
        <v>0.6573664856000001</v>
      </c>
      <c r="BE12" s="158">
        <v>0.8364378357</v>
      </c>
      <c r="BF12" s="162">
        <v>2725</v>
      </c>
      <c r="BG12" s="162">
        <v>379</v>
      </c>
      <c r="BH12" s="162">
        <v>5212</v>
      </c>
      <c r="BI12" s="162">
        <v>2364</v>
      </c>
      <c r="BJ12" s="162">
        <v>1189</v>
      </c>
      <c r="BK12" s="97"/>
      <c r="BL12" s="97"/>
      <c r="BM12" s="97"/>
      <c r="BN12" s="97"/>
    </row>
    <row r="13" spans="1:66" ht="12.75">
      <c r="A13" s="79" t="s">
        <v>512</v>
      </c>
      <c r="B13" s="79" t="s">
        <v>300</v>
      </c>
      <c r="C13" s="79" t="s">
        <v>115</v>
      </c>
      <c r="D13" s="99">
        <v>3882</v>
      </c>
      <c r="E13" s="99">
        <v>216</v>
      </c>
      <c r="F13" s="99" t="s">
        <v>330</v>
      </c>
      <c r="G13" s="99" t="s">
        <v>527</v>
      </c>
      <c r="H13" s="99" t="s">
        <v>527</v>
      </c>
      <c r="I13" s="99">
        <v>18</v>
      </c>
      <c r="J13" s="99">
        <v>87</v>
      </c>
      <c r="K13" s="99">
        <v>82</v>
      </c>
      <c r="L13" s="99">
        <v>592</v>
      </c>
      <c r="M13" s="99">
        <v>38</v>
      </c>
      <c r="N13" s="99">
        <v>14</v>
      </c>
      <c r="O13" s="99">
        <v>14</v>
      </c>
      <c r="P13" s="159">
        <v>14</v>
      </c>
      <c r="Q13" s="99" t="s">
        <v>527</v>
      </c>
      <c r="R13" s="99" t="s">
        <v>527</v>
      </c>
      <c r="S13" s="99" t="s">
        <v>527</v>
      </c>
      <c r="T13" s="99" t="s">
        <v>527</v>
      </c>
      <c r="U13" s="99" t="s">
        <v>527</v>
      </c>
      <c r="V13" s="99" t="s">
        <v>527</v>
      </c>
      <c r="W13" s="99" t="s">
        <v>527</v>
      </c>
      <c r="X13" s="99" t="s">
        <v>527</v>
      </c>
      <c r="Y13" s="99">
        <v>23</v>
      </c>
      <c r="Z13" s="99" t="s">
        <v>527</v>
      </c>
      <c r="AA13" s="99" t="s">
        <v>527</v>
      </c>
      <c r="AB13" s="99" t="s">
        <v>527</v>
      </c>
      <c r="AC13" s="99" t="s">
        <v>527</v>
      </c>
      <c r="AD13" s="98" t="s">
        <v>309</v>
      </c>
      <c r="AE13" s="100">
        <v>0.05564142194744977</v>
      </c>
      <c r="AF13" s="100">
        <v>0.36</v>
      </c>
      <c r="AG13" s="98" t="s">
        <v>527</v>
      </c>
      <c r="AH13" s="98" t="s">
        <v>527</v>
      </c>
      <c r="AI13" s="100">
        <v>0.005</v>
      </c>
      <c r="AJ13" s="100">
        <v>0.453125</v>
      </c>
      <c r="AK13" s="100">
        <v>0.438503</v>
      </c>
      <c r="AL13" s="100">
        <v>0.734491</v>
      </c>
      <c r="AM13" s="100">
        <v>0.287879</v>
      </c>
      <c r="AN13" s="100">
        <v>0.212121</v>
      </c>
      <c r="AO13" s="98">
        <v>360.63884595569294</v>
      </c>
      <c r="AP13" s="158">
        <v>0.36363224029999996</v>
      </c>
      <c r="AQ13" s="100" t="s">
        <v>527</v>
      </c>
      <c r="AR13" s="100" t="s">
        <v>527</v>
      </c>
      <c r="AS13" s="98" t="s">
        <v>527</v>
      </c>
      <c r="AT13" s="98" t="s">
        <v>527</v>
      </c>
      <c r="AU13" s="98" t="s">
        <v>527</v>
      </c>
      <c r="AV13" s="98" t="s">
        <v>527</v>
      </c>
      <c r="AW13" s="98" t="s">
        <v>527</v>
      </c>
      <c r="AX13" s="98" t="s">
        <v>527</v>
      </c>
      <c r="AY13" s="98">
        <v>592.4781040700669</v>
      </c>
      <c r="AZ13" s="98" t="s">
        <v>527</v>
      </c>
      <c r="BA13" s="100" t="s">
        <v>527</v>
      </c>
      <c r="BB13" s="100" t="s">
        <v>527</v>
      </c>
      <c r="BC13" s="100" t="s">
        <v>527</v>
      </c>
      <c r="BD13" s="158">
        <v>0.1988011169</v>
      </c>
      <c r="BE13" s="158">
        <v>0.6101131058</v>
      </c>
      <c r="BF13" s="162">
        <v>192</v>
      </c>
      <c r="BG13" s="162">
        <v>187</v>
      </c>
      <c r="BH13" s="162">
        <v>806</v>
      </c>
      <c r="BI13" s="162">
        <v>132</v>
      </c>
      <c r="BJ13" s="162">
        <v>66</v>
      </c>
      <c r="BK13" s="97"/>
      <c r="BL13" s="97"/>
      <c r="BM13" s="97"/>
      <c r="BN13" s="97"/>
    </row>
    <row r="14" spans="1:66" ht="12.75">
      <c r="A14" s="79" t="s">
        <v>503</v>
      </c>
      <c r="B14" s="79" t="s">
        <v>291</v>
      </c>
      <c r="C14" s="79" t="s">
        <v>115</v>
      </c>
      <c r="D14" s="99">
        <v>10897</v>
      </c>
      <c r="E14" s="99">
        <v>1651</v>
      </c>
      <c r="F14" s="99" t="s">
        <v>329</v>
      </c>
      <c r="G14" s="99">
        <v>51</v>
      </c>
      <c r="H14" s="99">
        <v>23</v>
      </c>
      <c r="I14" s="99">
        <v>219</v>
      </c>
      <c r="J14" s="99">
        <v>973</v>
      </c>
      <c r="K14" s="99">
        <v>17</v>
      </c>
      <c r="L14" s="99">
        <v>2159</v>
      </c>
      <c r="M14" s="99">
        <v>685</v>
      </c>
      <c r="N14" s="99">
        <v>344</v>
      </c>
      <c r="O14" s="99">
        <v>143</v>
      </c>
      <c r="P14" s="159">
        <v>143</v>
      </c>
      <c r="Q14" s="99">
        <v>20</v>
      </c>
      <c r="R14" s="99">
        <v>40</v>
      </c>
      <c r="S14" s="99">
        <v>19</v>
      </c>
      <c r="T14" s="99">
        <v>30</v>
      </c>
      <c r="U14" s="99">
        <v>8</v>
      </c>
      <c r="V14" s="99">
        <v>23</v>
      </c>
      <c r="W14" s="99">
        <v>76</v>
      </c>
      <c r="X14" s="99">
        <v>49</v>
      </c>
      <c r="Y14" s="99">
        <v>138</v>
      </c>
      <c r="Z14" s="99">
        <v>68</v>
      </c>
      <c r="AA14" s="99" t="s">
        <v>527</v>
      </c>
      <c r="AB14" s="99" t="s">
        <v>527</v>
      </c>
      <c r="AC14" s="99" t="s">
        <v>527</v>
      </c>
      <c r="AD14" s="98" t="s">
        <v>309</v>
      </c>
      <c r="AE14" s="100">
        <v>0.15150958979535653</v>
      </c>
      <c r="AF14" s="100">
        <v>0.2</v>
      </c>
      <c r="AG14" s="98">
        <v>468.01872074882994</v>
      </c>
      <c r="AH14" s="98">
        <v>211.06726622006056</v>
      </c>
      <c r="AI14" s="100">
        <v>0.02</v>
      </c>
      <c r="AJ14" s="100">
        <v>0.698492</v>
      </c>
      <c r="AK14" s="100">
        <v>0.607143</v>
      </c>
      <c r="AL14" s="100">
        <v>0.817803</v>
      </c>
      <c r="AM14" s="100">
        <v>0.533489</v>
      </c>
      <c r="AN14" s="100">
        <v>0.5504</v>
      </c>
      <c r="AO14" s="98">
        <v>1312.2877856290722</v>
      </c>
      <c r="AP14" s="158">
        <v>0.7288356781</v>
      </c>
      <c r="AQ14" s="100">
        <v>0.13986013986013987</v>
      </c>
      <c r="AR14" s="100">
        <v>0.5</v>
      </c>
      <c r="AS14" s="98">
        <v>174.3599155730935</v>
      </c>
      <c r="AT14" s="98">
        <v>275.3051298522529</v>
      </c>
      <c r="AU14" s="98">
        <v>73.41470129393412</v>
      </c>
      <c r="AV14" s="98">
        <v>211.06726622006056</v>
      </c>
      <c r="AW14" s="98">
        <v>697.439662292374</v>
      </c>
      <c r="AX14" s="98">
        <v>449.6650454253464</v>
      </c>
      <c r="AY14" s="98">
        <v>1266.4035973203634</v>
      </c>
      <c r="AZ14" s="98">
        <v>624.02496099844</v>
      </c>
      <c r="BA14" s="100" t="s">
        <v>527</v>
      </c>
      <c r="BB14" s="100" t="s">
        <v>527</v>
      </c>
      <c r="BC14" s="100" t="s">
        <v>527</v>
      </c>
      <c r="BD14" s="158">
        <v>0.6142773438</v>
      </c>
      <c r="BE14" s="158">
        <v>0.8585578918</v>
      </c>
      <c r="BF14" s="162">
        <v>1393</v>
      </c>
      <c r="BG14" s="162">
        <v>28</v>
      </c>
      <c r="BH14" s="162">
        <v>2640</v>
      </c>
      <c r="BI14" s="162">
        <v>1284</v>
      </c>
      <c r="BJ14" s="162">
        <v>625</v>
      </c>
      <c r="BK14" s="97"/>
      <c r="BL14" s="97"/>
      <c r="BM14" s="97"/>
      <c r="BN14" s="97"/>
    </row>
    <row r="15" spans="1:66" ht="12.75">
      <c r="A15" s="79" t="s">
        <v>511</v>
      </c>
      <c r="B15" s="79" t="s">
        <v>299</v>
      </c>
      <c r="C15" s="79" t="s">
        <v>115</v>
      </c>
      <c r="D15" s="99">
        <v>7403</v>
      </c>
      <c r="E15" s="99">
        <v>1437</v>
      </c>
      <c r="F15" s="99" t="s">
        <v>329</v>
      </c>
      <c r="G15" s="99">
        <v>29</v>
      </c>
      <c r="H15" s="99">
        <v>20</v>
      </c>
      <c r="I15" s="99">
        <v>146</v>
      </c>
      <c r="J15" s="99">
        <v>606</v>
      </c>
      <c r="K15" s="99">
        <v>25</v>
      </c>
      <c r="L15" s="99">
        <v>1475</v>
      </c>
      <c r="M15" s="99">
        <v>481</v>
      </c>
      <c r="N15" s="99">
        <v>246</v>
      </c>
      <c r="O15" s="99">
        <v>56</v>
      </c>
      <c r="P15" s="159">
        <v>56</v>
      </c>
      <c r="Q15" s="99">
        <v>15</v>
      </c>
      <c r="R15" s="99">
        <v>30</v>
      </c>
      <c r="S15" s="99" t="s">
        <v>527</v>
      </c>
      <c r="T15" s="99">
        <v>10</v>
      </c>
      <c r="U15" s="99">
        <v>7</v>
      </c>
      <c r="V15" s="99">
        <v>8</v>
      </c>
      <c r="W15" s="99">
        <v>42</v>
      </c>
      <c r="X15" s="99">
        <v>35</v>
      </c>
      <c r="Y15" s="99">
        <v>89</v>
      </c>
      <c r="Z15" s="99">
        <v>56</v>
      </c>
      <c r="AA15" s="99" t="s">
        <v>527</v>
      </c>
      <c r="AB15" s="99" t="s">
        <v>527</v>
      </c>
      <c r="AC15" s="99" t="s">
        <v>527</v>
      </c>
      <c r="AD15" s="98" t="s">
        <v>309</v>
      </c>
      <c r="AE15" s="100">
        <v>0.19411049574496825</v>
      </c>
      <c r="AF15" s="100">
        <v>0.18</v>
      </c>
      <c r="AG15" s="98">
        <v>391.7330811833041</v>
      </c>
      <c r="AH15" s="98">
        <v>270.160745643658</v>
      </c>
      <c r="AI15" s="100">
        <v>0.02</v>
      </c>
      <c r="AJ15" s="100">
        <v>0.655135</v>
      </c>
      <c r="AK15" s="100">
        <v>0.657895</v>
      </c>
      <c r="AL15" s="100">
        <v>0.847701</v>
      </c>
      <c r="AM15" s="100">
        <v>0.590184</v>
      </c>
      <c r="AN15" s="100">
        <v>0.605911</v>
      </c>
      <c r="AO15" s="98">
        <v>756.4500878022424</v>
      </c>
      <c r="AP15" s="158">
        <v>0.3783164215</v>
      </c>
      <c r="AQ15" s="100">
        <v>0.26785714285714285</v>
      </c>
      <c r="AR15" s="100">
        <v>0.5</v>
      </c>
      <c r="AS15" s="98" t="s">
        <v>527</v>
      </c>
      <c r="AT15" s="98">
        <v>135.080372821829</v>
      </c>
      <c r="AU15" s="98">
        <v>94.5562609752803</v>
      </c>
      <c r="AV15" s="98">
        <v>108.0642982574632</v>
      </c>
      <c r="AW15" s="98">
        <v>567.3375658516818</v>
      </c>
      <c r="AX15" s="98">
        <v>472.78130487640146</v>
      </c>
      <c r="AY15" s="98">
        <v>1202.215318114278</v>
      </c>
      <c r="AZ15" s="98">
        <v>756.4500878022424</v>
      </c>
      <c r="BA15" s="100" t="s">
        <v>527</v>
      </c>
      <c r="BB15" s="100" t="s">
        <v>527</v>
      </c>
      <c r="BC15" s="100" t="s">
        <v>527</v>
      </c>
      <c r="BD15" s="158">
        <v>0.2857761574</v>
      </c>
      <c r="BE15" s="158">
        <v>0.49127532960000003</v>
      </c>
      <c r="BF15" s="162">
        <v>925</v>
      </c>
      <c r="BG15" s="162">
        <v>38</v>
      </c>
      <c r="BH15" s="162">
        <v>1740</v>
      </c>
      <c r="BI15" s="162">
        <v>815</v>
      </c>
      <c r="BJ15" s="162">
        <v>406</v>
      </c>
      <c r="BK15" s="97"/>
      <c r="BL15" s="97"/>
      <c r="BM15" s="97"/>
      <c r="BN15" s="97"/>
    </row>
    <row r="16" spans="1:66" ht="12.75">
      <c r="A16" s="79" t="s">
        <v>513</v>
      </c>
      <c r="B16" s="79" t="s">
        <v>301</v>
      </c>
      <c r="C16" s="79" t="s">
        <v>115</v>
      </c>
      <c r="D16" s="99">
        <v>2816</v>
      </c>
      <c r="E16" s="99">
        <v>313</v>
      </c>
      <c r="F16" s="99" t="s">
        <v>330</v>
      </c>
      <c r="G16" s="99">
        <v>11</v>
      </c>
      <c r="H16" s="99" t="s">
        <v>527</v>
      </c>
      <c r="I16" s="99">
        <v>15</v>
      </c>
      <c r="J16" s="99">
        <v>90</v>
      </c>
      <c r="K16" s="99">
        <v>62</v>
      </c>
      <c r="L16" s="99">
        <v>402</v>
      </c>
      <c r="M16" s="99">
        <v>52</v>
      </c>
      <c r="N16" s="99">
        <v>22</v>
      </c>
      <c r="O16" s="99">
        <v>23</v>
      </c>
      <c r="P16" s="159">
        <v>23</v>
      </c>
      <c r="Q16" s="99" t="s">
        <v>527</v>
      </c>
      <c r="R16" s="99" t="s">
        <v>527</v>
      </c>
      <c r="S16" s="99" t="s">
        <v>527</v>
      </c>
      <c r="T16" s="99">
        <v>6</v>
      </c>
      <c r="U16" s="99" t="s">
        <v>527</v>
      </c>
      <c r="V16" s="99" t="s">
        <v>527</v>
      </c>
      <c r="W16" s="99">
        <v>7</v>
      </c>
      <c r="X16" s="99" t="s">
        <v>527</v>
      </c>
      <c r="Y16" s="99">
        <v>25</v>
      </c>
      <c r="Z16" s="99" t="s">
        <v>527</v>
      </c>
      <c r="AA16" s="99" t="s">
        <v>527</v>
      </c>
      <c r="AB16" s="99" t="s">
        <v>527</v>
      </c>
      <c r="AC16" s="99" t="s">
        <v>527</v>
      </c>
      <c r="AD16" s="98" t="s">
        <v>309</v>
      </c>
      <c r="AE16" s="100">
        <v>0.11115056818181818</v>
      </c>
      <c r="AF16" s="100">
        <v>0.32</v>
      </c>
      <c r="AG16" s="98">
        <v>390.625</v>
      </c>
      <c r="AH16" s="98" t="s">
        <v>527</v>
      </c>
      <c r="AI16" s="100">
        <v>0.005</v>
      </c>
      <c r="AJ16" s="100">
        <v>0.48913</v>
      </c>
      <c r="AK16" s="100">
        <v>0.704545</v>
      </c>
      <c r="AL16" s="100">
        <v>0.632075</v>
      </c>
      <c r="AM16" s="100">
        <v>0.320988</v>
      </c>
      <c r="AN16" s="100">
        <v>0.297297</v>
      </c>
      <c r="AO16" s="98">
        <v>816.7613636363636</v>
      </c>
      <c r="AP16" s="158">
        <v>0.5982986832</v>
      </c>
      <c r="AQ16" s="100" t="s">
        <v>527</v>
      </c>
      <c r="AR16" s="100" t="s">
        <v>527</v>
      </c>
      <c r="AS16" s="98" t="s">
        <v>527</v>
      </c>
      <c r="AT16" s="98">
        <v>213.0681818181818</v>
      </c>
      <c r="AU16" s="98" t="s">
        <v>527</v>
      </c>
      <c r="AV16" s="98" t="s">
        <v>527</v>
      </c>
      <c r="AW16" s="98">
        <v>248.57954545454547</v>
      </c>
      <c r="AX16" s="98" t="s">
        <v>527</v>
      </c>
      <c r="AY16" s="98">
        <v>887.7840909090909</v>
      </c>
      <c r="AZ16" s="98" t="s">
        <v>527</v>
      </c>
      <c r="BA16" s="100" t="s">
        <v>527</v>
      </c>
      <c r="BB16" s="100" t="s">
        <v>527</v>
      </c>
      <c r="BC16" s="100" t="s">
        <v>527</v>
      </c>
      <c r="BD16" s="158">
        <v>0.3792700577</v>
      </c>
      <c r="BE16" s="158">
        <v>0.8977417755</v>
      </c>
      <c r="BF16" s="162">
        <v>184</v>
      </c>
      <c r="BG16" s="162">
        <v>88</v>
      </c>
      <c r="BH16" s="162">
        <v>636</v>
      </c>
      <c r="BI16" s="162">
        <v>162</v>
      </c>
      <c r="BJ16" s="162">
        <v>74</v>
      </c>
      <c r="BK16" s="97"/>
      <c r="BL16" s="97"/>
      <c r="BM16" s="97"/>
      <c r="BN16" s="97"/>
    </row>
    <row r="17" spans="1:66" ht="12.75">
      <c r="A17" s="79" t="s">
        <v>518</v>
      </c>
      <c r="B17" s="79" t="s">
        <v>306</v>
      </c>
      <c r="C17" s="79" t="s">
        <v>115</v>
      </c>
      <c r="D17" s="99">
        <v>3594</v>
      </c>
      <c r="E17" s="99">
        <v>377</v>
      </c>
      <c r="F17" s="99" t="s">
        <v>332</v>
      </c>
      <c r="G17" s="99">
        <v>25</v>
      </c>
      <c r="H17" s="99">
        <v>9</v>
      </c>
      <c r="I17" s="99">
        <v>31</v>
      </c>
      <c r="J17" s="99">
        <v>273</v>
      </c>
      <c r="K17" s="99">
        <v>263</v>
      </c>
      <c r="L17" s="99">
        <v>737</v>
      </c>
      <c r="M17" s="99">
        <v>177</v>
      </c>
      <c r="N17" s="99">
        <v>93</v>
      </c>
      <c r="O17" s="99">
        <v>28</v>
      </c>
      <c r="P17" s="159">
        <v>28</v>
      </c>
      <c r="Q17" s="99">
        <v>6</v>
      </c>
      <c r="R17" s="99">
        <v>20</v>
      </c>
      <c r="S17" s="99">
        <v>10</v>
      </c>
      <c r="T17" s="99" t="s">
        <v>527</v>
      </c>
      <c r="U17" s="99" t="s">
        <v>527</v>
      </c>
      <c r="V17" s="99" t="s">
        <v>527</v>
      </c>
      <c r="W17" s="99">
        <v>8</v>
      </c>
      <c r="X17" s="99">
        <v>11</v>
      </c>
      <c r="Y17" s="99">
        <v>31</v>
      </c>
      <c r="Z17" s="99">
        <v>21</v>
      </c>
      <c r="AA17" s="99" t="s">
        <v>527</v>
      </c>
      <c r="AB17" s="99" t="s">
        <v>527</v>
      </c>
      <c r="AC17" s="99" t="s">
        <v>527</v>
      </c>
      <c r="AD17" s="98" t="s">
        <v>309</v>
      </c>
      <c r="AE17" s="100">
        <v>0.10489705063995548</v>
      </c>
      <c r="AF17" s="100">
        <v>0.13</v>
      </c>
      <c r="AG17" s="98">
        <v>695.6037840845854</v>
      </c>
      <c r="AH17" s="98">
        <v>250.41736227045075</v>
      </c>
      <c r="AI17" s="100">
        <v>0.009000000000000001</v>
      </c>
      <c r="AJ17" s="100">
        <v>0.745902</v>
      </c>
      <c r="AK17" s="100">
        <v>0.757925</v>
      </c>
      <c r="AL17" s="100">
        <v>0.806346</v>
      </c>
      <c r="AM17" s="100">
        <v>0.546296</v>
      </c>
      <c r="AN17" s="100">
        <v>0.570552</v>
      </c>
      <c r="AO17" s="98">
        <v>779.0762381747356</v>
      </c>
      <c r="AP17" s="158">
        <v>0.4923591614</v>
      </c>
      <c r="AQ17" s="100">
        <v>0.21428571428571427</v>
      </c>
      <c r="AR17" s="100">
        <v>0.3</v>
      </c>
      <c r="AS17" s="98">
        <v>278.2415136338342</v>
      </c>
      <c r="AT17" s="98" t="s">
        <v>527</v>
      </c>
      <c r="AU17" s="98" t="s">
        <v>527</v>
      </c>
      <c r="AV17" s="98" t="s">
        <v>527</v>
      </c>
      <c r="AW17" s="98">
        <v>222.59321090706734</v>
      </c>
      <c r="AX17" s="98">
        <v>306.0656649972176</v>
      </c>
      <c r="AY17" s="98">
        <v>862.548692264886</v>
      </c>
      <c r="AZ17" s="98">
        <v>584.3071786310518</v>
      </c>
      <c r="BA17" s="100" t="s">
        <v>527</v>
      </c>
      <c r="BB17" s="100" t="s">
        <v>527</v>
      </c>
      <c r="BC17" s="100" t="s">
        <v>527</v>
      </c>
      <c r="BD17" s="158">
        <v>0.327169075</v>
      </c>
      <c r="BE17" s="158">
        <v>0.7115960693</v>
      </c>
      <c r="BF17" s="162">
        <v>366</v>
      </c>
      <c r="BG17" s="162">
        <v>347</v>
      </c>
      <c r="BH17" s="162">
        <v>914</v>
      </c>
      <c r="BI17" s="162">
        <v>324</v>
      </c>
      <c r="BJ17" s="162">
        <v>163</v>
      </c>
      <c r="BK17" s="97"/>
      <c r="BL17" s="97"/>
      <c r="BM17" s="97"/>
      <c r="BN17" s="97"/>
    </row>
    <row r="18" spans="1:66" ht="12.75">
      <c r="A18" s="79" t="s">
        <v>519</v>
      </c>
      <c r="B18" s="79" t="s">
        <v>307</v>
      </c>
      <c r="C18" s="79" t="s">
        <v>115</v>
      </c>
      <c r="D18" s="99">
        <v>2197</v>
      </c>
      <c r="E18" s="99">
        <v>260</v>
      </c>
      <c r="F18" s="99" t="s">
        <v>330</v>
      </c>
      <c r="G18" s="99" t="s">
        <v>527</v>
      </c>
      <c r="H18" s="99">
        <v>6</v>
      </c>
      <c r="I18" s="99">
        <v>18</v>
      </c>
      <c r="J18" s="99">
        <v>170</v>
      </c>
      <c r="K18" s="99">
        <v>151</v>
      </c>
      <c r="L18" s="99">
        <v>377</v>
      </c>
      <c r="M18" s="99">
        <v>108</v>
      </c>
      <c r="N18" s="99">
        <v>42</v>
      </c>
      <c r="O18" s="99" t="s">
        <v>527</v>
      </c>
      <c r="P18" s="159" t="s">
        <v>527</v>
      </c>
      <c r="Q18" s="99" t="s">
        <v>527</v>
      </c>
      <c r="R18" s="99">
        <v>8</v>
      </c>
      <c r="S18" s="99" t="s">
        <v>527</v>
      </c>
      <c r="T18" s="99" t="s">
        <v>527</v>
      </c>
      <c r="U18" s="99" t="s">
        <v>527</v>
      </c>
      <c r="V18" s="99" t="s">
        <v>527</v>
      </c>
      <c r="W18" s="99">
        <v>8</v>
      </c>
      <c r="X18" s="99" t="s">
        <v>527</v>
      </c>
      <c r="Y18" s="99">
        <v>11</v>
      </c>
      <c r="Z18" s="99">
        <v>13</v>
      </c>
      <c r="AA18" s="99" t="s">
        <v>527</v>
      </c>
      <c r="AB18" s="99" t="s">
        <v>527</v>
      </c>
      <c r="AC18" s="99" t="s">
        <v>527</v>
      </c>
      <c r="AD18" s="98" t="s">
        <v>309</v>
      </c>
      <c r="AE18" s="100">
        <v>0.11834319526627218</v>
      </c>
      <c r="AF18" s="100">
        <v>0.27</v>
      </c>
      <c r="AG18" s="98" t="s">
        <v>527</v>
      </c>
      <c r="AH18" s="98">
        <v>273.09968138370505</v>
      </c>
      <c r="AI18" s="100">
        <v>0.008</v>
      </c>
      <c r="AJ18" s="100">
        <v>0.720339</v>
      </c>
      <c r="AK18" s="100">
        <v>0.665198</v>
      </c>
      <c r="AL18" s="100">
        <v>0.77572</v>
      </c>
      <c r="AM18" s="100">
        <v>0.509434</v>
      </c>
      <c r="AN18" s="100">
        <v>0.442105</v>
      </c>
      <c r="AO18" s="98" t="s">
        <v>527</v>
      </c>
      <c r="AP18" s="158" t="s">
        <v>527</v>
      </c>
      <c r="AQ18" s="100" t="s">
        <v>527</v>
      </c>
      <c r="AR18" s="100" t="s">
        <v>527</v>
      </c>
      <c r="AS18" s="98" t="s">
        <v>527</v>
      </c>
      <c r="AT18" s="98" t="s">
        <v>527</v>
      </c>
      <c r="AU18" s="98" t="s">
        <v>527</v>
      </c>
      <c r="AV18" s="98" t="s">
        <v>527</v>
      </c>
      <c r="AW18" s="98">
        <v>364.13290851160673</v>
      </c>
      <c r="AX18" s="98" t="s">
        <v>527</v>
      </c>
      <c r="AY18" s="98">
        <v>500.68274920345925</v>
      </c>
      <c r="AZ18" s="98">
        <v>591.7159763313609</v>
      </c>
      <c r="BA18" s="100" t="s">
        <v>527</v>
      </c>
      <c r="BB18" s="100" t="s">
        <v>527</v>
      </c>
      <c r="BC18" s="100" t="s">
        <v>527</v>
      </c>
      <c r="BD18" s="158" t="s">
        <v>527</v>
      </c>
      <c r="BE18" s="158" t="s">
        <v>527</v>
      </c>
      <c r="BF18" s="162">
        <v>236</v>
      </c>
      <c r="BG18" s="162">
        <v>227</v>
      </c>
      <c r="BH18" s="162">
        <v>486</v>
      </c>
      <c r="BI18" s="162">
        <v>212</v>
      </c>
      <c r="BJ18" s="162">
        <v>95</v>
      </c>
      <c r="BK18" s="97"/>
      <c r="BL18" s="97"/>
      <c r="BM18" s="97"/>
      <c r="BN18" s="97"/>
    </row>
    <row r="19" spans="1:66" ht="12.75">
      <c r="A19" s="79" t="s">
        <v>506</v>
      </c>
      <c r="B19" s="79" t="s">
        <v>294</v>
      </c>
      <c r="C19" s="79" t="s">
        <v>115</v>
      </c>
      <c r="D19" s="99">
        <v>9145</v>
      </c>
      <c r="E19" s="99">
        <v>1578</v>
      </c>
      <c r="F19" s="99" t="s">
        <v>329</v>
      </c>
      <c r="G19" s="99">
        <v>56</v>
      </c>
      <c r="H19" s="99">
        <v>28</v>
      </c>
      <c r="I19" s="99">
        <v>181</v>
      </c>
      <c r="J19" s="99">
        <v>837</v>
      </c>
      <c r="K19" s="99">
        <v>826</v>
      </c>
      <c r="L19" s="99">
        <v>1705</v>
      </c>
      <c r="M19" s="99">
        <v>496</v>
      </c>
      <c r="N19" s="99">
        <v>223</v>
      </c>
      <c r="O19" s="99">
        <v>151</v>
      </c>
      <c r="P19" s="159">
        <v>151</v>
      </c>
      <c r="Q19" s="99">
        <v>15</v>
      </c>
      <c r="R19" s="99">
        <v>47</v>
      </c>
      <c r="S19" s="99">
        <v>18</v>
      </c>
      <c r="T19" s="99">
        <v>25</v>
      </c>
      <c r="U19" s="99">
        <v>10</v>
      </c>
      <c r="V19" s="99">
        <v>31</v>
      </c>
      <c r="W19" s="99">
        <v>55</v>
      </c>
      <c r="X19" s="99">
        <v>36</v>
      </c>
      <c r="Y19" s="99">
        <v>136</v>
      </c>
      <c r="Z19" s="99">
        <v>61</v>
      </c>
      <c r="AA19" s="99" t="s">
        <v>527</v>
      </c>
      <c r="AB19" s="99" t="s">
        <v>527</v>
      </c>
      <c r="AC19" s="99" t="s">
        <v>527</v>
      </c>
      <c r="AD19" s="98" t="s">
        <v>309</v>
      </c>
      <c r="AE19" s="100">
        <v>0.17255330781848005</v>
      </c>
      <c r="AF19" s="100">
        <v>0.19</v>
      </c>
      <c r="AG19" s="98">
        <v>612.356478950246</v>
      </c>
      <c r="AH19" s="98">
        <v>306.178239475123</v>
      </c>
      <c r="AI19" s="100">
        <v>0.02</v>
      </c>
      <c r="AJ19" s="100">
        <v>0.743339</v>
      </c>
      <c r="AK19" s="100">
        <v>0.761993</v>
      </c>
      <c r="AL19" s="100">
        <v>0.78463</v>
      </c>
      <c r="AM19" s="100">
        <v>0.506122</v>
      </c>
      <c r="AN19" s="100">
        <v>0.493363</v>
      </c>
      <c r="AO19" s="98">
        <v>1651.175505740842</v>
      </c>
      <c r="AP19" s="158">
        <v>0.8692095947</v>
      </c>
      <c r="AQ19" s="100">
        <v>0.09933774834437085</v>
      </c>
      <c r="AR19" s="100">
        <v>0.3191489361702128</v>
      </c>
      <c r="AS19" s="98">
        <v>196.82886823400764</v>
      </c>
      <c r="AT19" s="98">
        <v>273.3734281027884</v>
      </c>
      <c r="AU19" s="98">
        <v>109.34937124111536</v>
      </c>
      <c r="AV19" s="98">
        <v>338.9830508474576</v>
      </c>
      <c r="AW19" s="98">
        <v>601.4215418261344</v>
      </c>
      <c r="AX19" s="98">
        <v>393.6577364680153</v>
      </c>
      <c r="AY19" s="98">
        <v>1487.151448879169</v>
      </c>
      <c r="AZ19" s="98">
        <v>667.0311645708038</v>
      </c>
      <c r="BA19" s="100" t="s">
        <v>527</v>
      </c>
      <c r="BB19" s="100" t="s">
        <v>527</v>
      </c>
      <c r="BC19" s="100" t="s">
        <v>527</v>
      </c>
      <c r="BD19" s="158">
        <v>0.7361009979</v>
      </c>
      <c r="BE19" s="158">
        <v>1.0194322200000001</v>
      </c>
      <c r="BF19" s="162">
        <v>1126</v>
      </c>
      <c r="BG19" s="162">
        <v>1084</v>
      </c>
      <c r="BH19" s="162">
        <v>2173</v>
      </c>
      <c r="BI19" s="162">
        <v>980</v>
      </c>
      <c r="BJ19" s="162">
        <v>452</v>
      </c>
      <c r="BK19" s="97"/>
      <c r="BL19" s="97"/>
      <c r="BM19" s="97"/>
      <c r="BN19" s="97"/>
    </row>
    <row r="20" spans="1:66" ht="12.75">
      <c r="A20" s="79" t="s">
        <v>495</v>
      </c>
      <c r="B20" s="79" t="s">
        <v>283</v>
      </c>
      <c r="C20" s="79" t="s">
        <v>115</v>
      </c>
      <c r="D20" s="99">
        <v>6030</v>
      </c>
      <c r="E20" s="99">
        <v>497</v>
      </c>
      <c r="F20" s="99" t="s">
        <v>330</v>
      </c>
      <c r="G20" s="99" t="s">
        <v>527</v>
      </c>
      <c r="H20" s="99">
        <v>11</v>
      </c>
      <c r="I20" s="99">
        <v>45</v>
      </c>
      <c r="J20" s="99">
        <v>195</v>
      </c>
      <c r="K20" s="99">
        <v>76</v>
      </c>
      <c r="L20" s="99">
        <v>1001</v>
      </c>
      <c r="M20" s="99">
        <v>128</v>
      </c>
      <c r="N20" s="99">
        <v>65</v>
      </c>
      <c r="O20" s="99">
        <v>53</v>
      </c>
      <c r="P20" s="159">
        <v>53</v>
      </c>
      <c r="Q20" s="99">
        <v>6</v>
      </c>
      <c r="R20" s="99">
        <v>9</v>
      </c>
      <c r="S20" s="99">
        <v>11</v>
      </c>
      <c r="T20" s="99">
        <v>6</v>
      </c>
      <c r="U20" s="99" t="s">
        <v>527</v>
      </c>
      <c r="V20" s="99">
        <v>7</v>
      </c>
      <c r="W20" s="99">
        <v>13</v>
      </c>
      <c r="X20" s="99">
        <v>13</v>
      </c>
      <c r="Y20" s="99">
        <v>66</v>
      </c>
      <c r="Z20" s="99">
        <v>23</v>
      </c>
      <c r="AA20" s="99" t="s">
        <v>527</v>
      </c>
      <c r="AB20" s="99" t="s">
        <v>527</v>
      </c>
      <c r="AC20" s="99" t="s">
        <v>527</v>
      </c>
      <c r="AD20" s="98" t="s">
        <v>309</v>
      </c>
      <c r="AE20" s="100">
        <v>0.0824212271973466</v>
      </c>
      <c r="AF20" s="100">
        <v>0.35</v>
      </c>
      <c r="AG20" s="98" t="s">
        <v>527</v>
      </c>
      <c r="AH20" s="98">
        <v>182.4212271973466</v>
      </c>
      <c r="AI20" s="100">
        <v>0.006999999999999999</v>
      </c>
      <c r="AJ20" s="100">
        <v>0.518617</v>
      </c>
      <c r="AK20" s="100">
        <v>0.71028</v>
      </c>
      <c r="AL20" s="100">
        <v>0.779595</v>
      </c>
      <c r="AM20" s="100">
        <v>0.408946</v>
      </c>
      <c r="AN20" s="100">
        <v>0.416667</v>
      </c>
      <c r="AO20" s="98">
        <v>878.93864013267</v>
      </c>
      <c r="AP20" s="158">
        <v>0.7488157653999999</v>
      </c>
      <c r="AQ20" s="100">
        <v>0.11320754716981132</v>
      </c>
      <c r="AR20" s="100">
        <v>0.6666666666666666</v>
      </c>
      <c r="AS20" s="98">
        <v>182.4212271973466</v>
      </c>
      <c r="AT20" s="98">
        <v>99.50248756218906</v>
      </c>
      <c r="AU20" s="98" t="s">
        <v>527</v>
      </c>
      <c r="AV20" s="98">
        <v>116.08623548922057</v>
      </c>
      <c r="AW20" s="98">
        <v>215.58872305140963</v>
      </c>
      <c r="AX20" s="98">
        <v>215.58872305140963</v>
      </c>
      <c r="AY20" s="98">
        <v>1094.5273631840796</v>
      </c>
      <c r="AZ20" s="98">
        <v>381.4262023217247</v>
      </c>
      <c r="BA20" s="100" t="s">
        <v>527</v>
      </c>
      <c r="BB20" s="100" t="s">
        <v>527</v>
      </c>
      <c r="BC20" s="100" t="s">
        <v>527</v>
      </c>
      <c r="BD20" s="158">
        <v>0.5609144211</v>
      </c>
      <c r="BE20" s="158">
        <v>0.9794695282000001</v>
      </c>
      <c r="BF20" s="162">
        <v>376</v>
      </c>
      <c r="BG20" s="162">
        <v>107</v>
      </c>
      <c r="BH20" s="162">
        <v>1284</v>
      </c>
      <c r="BI20" s="162">
        <v>313</v>
      </c>
      <c r="BJ20" s="162">
        <v>156</v>
      </c>
      <c r="BK20" s="97"/>
      <c r="BL20" s="97"/>
      <c r="BM20" s="97"/>
      <c r="BN20" s="97"/>
    </row>
    <row r="21" spans="1:66" ht="12.75">
      <c r="A21" s="79" t="s">
        <v>507</v>
      </c>
      <c r="B21" s="79" t="s">
        <v>295</v>
      </c>
      <c r="C21" s="79" t="s">
        <v>115</v>
      </c>
      <c r="D21" s="99">
        <v>4728</v>
      </c>
      <c r="E21" s="99">
        <v>1079</v>
      </c>
      <c r="F21" s="99" t="s">
        <v>331</v>
      </c>
      <c r="G21" s="99">
        <v>35</v>
      </c>
      <c r="H21" s="99">
        <v>25</v>
      </c>
      <c r="I21" s="99">
        <v>120</v>
      </c>
      <c r="J21" s="99">
        <v>583</v>
      </c>
      <c r="K21" s="99">
        <v>572</v>
      </c>
      <c r="L21" s="99">
        <v>913</v>
      </c>
      <c r="M21" s="99">
        <v>426</v>
      </c>
      <c r="N21" s="99">
        <v>217</v>
      </c>
      <c r="O21" s="99">
        <v>88</v>
      </c>
      <c r="P21" s="159">
        <v>88</v>
      </c>
      <c r="Q21" s="99">
        <v>15</v>
      </c>
      <c r="R21" s="99">
        <v>31</v>
      </c>
      <c r="S21" s="99">
        <v>15</v>
      </c>
      <c r="T21" s="99">
        <v>21</v>
      </c>
      <c r="U21" s="99" t="s">
        <v>527</v>
      </c>
      <c r="V21" s="99">
        <v>12</v>
      </c>
      <c r="W21" s="99">
        <v>41</v>
      </c>
      <c r="X21" s="99">
        <v>16</v>
      </c>
      <c r="Y21" s="99">
        <v>75</v>
      </c>
      <c r="Z21" s="99">
        <v>58</v>
      </c>
      <c r="AA21" s="99" t="s">
        <v>527</v>
      </c>
      <c r="AB21" s="99" t="s">
        <v>527</v>
      </c>
      <c r="AC21" s="99" t="s">
        <v>527</v>
      </c>
      <c r="AD21" s="98" t="s">
        <v>309</v>
      </c>
      <c r="AE21" s="100">
        <v>0.22821489001692047</v>
      </c>
      <c r="AF21" s="100">
        <v>0.12</v>
      </c>
      <c r="AG21" s="98">
        <v>740.2707275803723</v>
      </c>
      <c r="AH21" s="98">
        <v>528.7648054145516</v>
      </c>
      <c r="AI21" s="100">
        <v>0.025</v>
      </c>
      <c r="AJ21" s="100">
        <v>0.800824</v>
      </c>
      <c r="AK21" s="100">
        <v>0.796657</v>
      </c>
      <c r="AL21" s="100">
        <v>0.825497</v>
      </c>
      <c r="AM21" s="100">
        <v>0.574124</v>
      </c>
      <c r="AN21" s="100">
        <v>0.599448</v>
      </c>
      <c r="AO21" s="98">
        <v>1861.2521150592218</v>
      </c>
      <c r="AP21" s="158">
        <v>0.8419390869</v>
      </c>
      <c r="AQ21" s="100">
        <v>0.17045454545454544</v>
      </c>
      <c r="AR21" s="100">
        <v>0.4838709677419355</v>
      </c>
      <c r="AS21" s="98">
        <v>317.25888324873097</v>
      </c>
      <c r="AT21" s="98">
        <v>444.16243654822335</v>
      </c>
      <c r="AU21" s="98" t="s">
        <v>527</v>
      </c>
      <c r="AV21" s="98">
        <v>253.80710659898477</v>
      </c>
      <c r="AW21" s="98">
        <v>867.1742808798647</v>
      </c>
      <c r="AX21" s="98">
        <v>338.40947546531305</v>
      </c>
      <c r="AY21" s="98">
        <v>1586.2944162436547</v>
      </c>
      <c r="AZ21" s="98">
        <v>1226.7343485617598</v>
      </c>
      <c r="BA21" s="100" t="s">
        <v>527</v>
      </c>
      <c r="BB21" s="100" t="s">
        <v>527</v>
      </c>
      <c r="BC21" s="100" t="s">
        <v>527</v>
      </c>
      <c r="BD21" s="158">
        <v>0.6752597808999999</v>
      </c>
      <c r="BE21" s="158">
        <v>1.037292557</v>
      </c>
      <c r="BF21" s="162">
        <v>728</v>
      </c>
      <c r="BG21" s="162">
        <v>718</v>
      </c>
      <c r="BH21" s="162">
        <v>1106</v>
      </c>
      <c r="BI21" s="162">
        <v>742</v>
      </c>
      <c r="BJ21" s="162">
        <v>362</v>
      </c>
      <c r="BK21" s="97"/>
      <c r="BL21" s="97"/>
      <c r="BM21" s="97"/>
      <c r="BN21" s="97"/>
    </row>
    <row r="22" spans="1:66" ht="12.75">
      <c r="A22" s="79" t="s">
        <v>498</v>
      </c>
      <c r="B22" s="79" t="s">
        <v>286</v>
      </c>
      <c r="C22" s="79" t="s">
        <v>115</v>
      </c>
      <c r="D22" s="99">
        <v>10212</v>
      </c>
      <c r="E22" s="99">
        <v>1801</v>
      </c>
      <c r="F22" s="99" t="s">
        <v>332</v>
      </c>
      <c r="G22" s="99">
        <v>62</v>
      </c>
      <c r="H22" s="99">
        <v>32</v>
      </c>
      <c r="I22" s="99">
        <v>212</v>
      </c>
      <c r="J22" s="99">
        <v>963</v>
      </c>
      <c r="K22" s="99">
        <v>929</v>
      </c>
      <c r="L22" s="99">
        <v>1909</v>
      </c>
      <c r="M22" s="99">
        <v>626</v>
      </c>
      <c r="N22" s="99">
        <v>323</v>
      </c>
      <c r="O22" s="99">
        <v>119</v>
      </c>
      <c r="P22" s="159">
        <v>119</v>
      </c>
      <c r="Q22" s="99">
        <v>23</v>
      </c>
      <c r="R22" s="99">
        <v>43</v>
      </c>
      <c r="S22" s="99">
        <v>25</v>
      </c>
      <c r="T22" s="99">
        <v>19</v>
      </c>
      <c r="U22" s="99">
        <v>6</v>
      </c>
      <c r="V22" s="99">
        <v>16</v>
      </c>
      <c r="W22" s="99">
        <v>48</v>
      </c>
      <c r="X22" s="99">
        <v>30</v>
      </c>
      <c r="Y22" s="99">
        <v>94</v>
      </c>
      <c r="Z22" s="99">
        <v>84</v>
      </c>
      <c r="AA22" s="99" t="s">
        <v>527</v>
      </c>
      <c r="AB22" s="99" t="s">
        <v>527</v>
      </c>
      <c r="AC22" s="99" t="s">
        <v>527</v>
      </c>
      <c r="AD22" s="98" t="s">
        <v>309</v>
      </c>
      <c r="AE22" s="100">
        <v>0.1763611437524481</v>
      </c>
      <c r="AF22" s="100">
        <v>0.14</v>
      </c>
      <c r="AG22" s="98">
        <v>607.1288679984332</v>
      </c>
      <c r="AH22" s="98">
        <v>313.35683509596555</v>
      </c>
      <c r="AI22" s="100">
        <v>0.021</v>
      </c>
      <c r="AJ22" s="100">
        <v>0.75</v>
      </c>
      <c r="AK22" s="100">
        <v>0.749194</v>
      </c>
      <c r="AL22" s="100">
        <v>0.788843</v>
      </c>
      <c r="AM22" s="100">
        <v>0.547682</v>
      </c>
      <c r="AN22" s="100">
        <v>0.554031</v>
      </c>
      <c r="AO22" s="98">
        <v>1165.2957305131217</v>
      </c>
      <c r="AP22" s="158">
        <v>0.6037049484</v>
      </c>
      <c r="AQ22" s="100">
        <v>0.19327731092436976</v>
      </c>
      <c r="AR22" s="100">
        <v>0.5348837209302325</v>
      </c>
      <c r="AS22" s="98">
        <v>244.81002741872308</v>
      </c>
      <c r="AT22" s="98">
        <v>186.05562083822954</v>
      </c>
      <c r="AU22" s="98">
        <v>58.75440658049354</v>
      </c>
      <c r="AV22" s="98">
        <v>156.67841754798278</v>
      </c>
      <c r="AW22" s="98">
        <v>470.0352526439483</v>
      </c>
      <c r="AX22" s="98">
        <v>293.7720329024677</v>
      </c>
      <c r="AY22" s="98">
        <v>920.4857030943988</v>
      </c>
      <c r="AZ22" s="98">
        <v>822.5616921269095</v>
      </c>
      <c r="BA22" s="100" t="s">
        <v>527</v>
      </c>
      <c r="BB22" s="100" t="s">
        <v>527</v>
      </c>
      <c r="BC22" s="100" t="s">
        <v>527</v>
      </c>
      <c r="BD22" s="158">
        <v>0.5001195145</v>
      </c>
      <c r="BE22" s="158">
        <v>0.7224230194000001</v>
      </c>
      <c r="BF22" s="162">
        <v>1284</v>
      </c>
      <c r="BG22" s="162">
        <v>1240</v>
      </c>
      <c r="BH22" s="162">
        <v>2420</v>
      </c>
      <c r="BI22" s="162">
        <v>1143</v>
      </c>
      <c r="BJ22" s="162">
        <v>583</v>
      </c>
      <c r="BK22" s="97"/>
      <c r="BL22" s="97"/>
      <c r="BM22" s="97"/>
      <c r="BN22" s="97"/>
    </row>
    <row r="23" spans="1:66" ht="12.75">
      <c r="A23" s="79" t="s">
        <v>496</v>
      </c>
      <c r="B23" s="79" t="s">
        <v>284</v>
      </c>
      <c r="C23" s="79" t="s">
        <v>115</v>
      </c>
      <c r="D23" s="99">
        <v>8528</v>
      </c>
      <c r="E23" s="99">
        <v>1544</v>
      </c>
      <c r="F23" s="99" t="s">
        <v>331</v>
      </c>
      <c r="G23" s="99">
        <v>50</v>
      </c>
      <c r="H23" s="99">
        <v>33</v>
      </c>
      <c r="I23" s="99">
        <v>185</v>
      </c>
      <c r="J23" s="99">
        <v>900</v>
      </c>
      <c r="K23" s="99">
        <v>886</v>
      </c>
      <c r="L23" s="99">
        <v>1720</v>
      </c>
      <c r="M23" s="99">
        <v>580</v>
      </c>
      <c r="N23" s="99">
        <v>280</v>
      </c>
      <c r="O23" s="99">
        <v>66</v>
      </c>
      <c r="P23" s="159">
        <v>66</v>
      </c>
      <c r="Q23" s="99">
        <v>16</v>
      </c>
      <c r="R23" s="99">
        <v>50</v>
      </c>
      <c r="S23" s="99">
        <v>7</v>
      </c>
      <c r="T23" s="99">
        <v>13</v>
      </c>
      <c r="U23" s="99">
        <v>6</v>
      </c>
      <c r="V23" s="99">
        <v>14</v>
      </c>
      <c r="W23" s="99">
        <v>41</v>
      </c>
      <c r="X23" s="99">
        <v>34</v>
      </c>
      <c r="Y23" s="99">
        <v>96</v>
      </c>
      <c r="Z23" s="99">
        <v>69</v>
      </c>
      <c r="AA23" s="99" t="s">
        <v>527</v>
      </c>
      <c r="AB23" s="99" t="s">
        <v>527</v>
      </c>
      <c r="AC23" s="99" t="s">
        <v>527</v>
      </c>
      <c r="AD23" s="98" t="s">
        <v>309</v>
      </c>
      <c r="AE23" s="100">
        <v>0.18105065666041276</v>
      </c>
      <c r="AF23" s="100">
        <v>0.12</v>
      </c>
      <c r="AG23" s="98">
        <v>586.3039399624765</v>
      </c>
      <c r="AH23" s="98">
        <v>386.96060037523455</v>
      </c>
      <c r="AI23" s="100">
        <v>0.022000000000000002</v>
      </c>
      <c r="AJ23" s="100">
        <v>0.808625</v>
      </c>
      <c r="AK23" s="100">
        <v>0.821892</v>
      </c>
      <c r="AL23" s="100">
        <v>0.826923</v>
      </c>
      <c r="AM23" s="100">
        <v>0.577114</v>
      </c>
      <c r="AN23" s="100">
        <v>0.571429</v>
      </c>
      <c r="AO23" s="98">
        <v>773.9212007504691</v>
      </c>
      <c r="AP23" s="158">
        <v>0.39032840729999996</v>
      </c>
      <c r="AQ23" s="100">
        <v>0.24242424242424243</v>
      </c>
      <c r="AR23" s="100">
        <v>0.32</v>
      </c>
      <c r="AS23" s="98">
        <v>82.08255159474672</v>
      </c>
      <c r="AT23" s="98">
        <v>152.4390243902439</v>
      </c>
      <c r="AU23" s="98">
        <v>70.35647279549718</v>
      </c>
      <c r="AV23" s="98">
        <v>164.16510318949344</v>
      </c>
      <c r="AW23" s="98">
        <v>480.7692307692308</v>
      </c>
      <c r="AX23" s="98">
        <v>398.686679174484</v>
      </c>
      <c r="AY23" s="98">
        <v>1125.703564727955</v>
      </c>
      <c r="AZ23" s="98">
        <v>809.0994371482176</v>
      </c>
      <c r="BA23" s="100" t="s">
        <v>527</v>
      </c>
      <c r="BB23" s="100" t="s">
        <v>527</v>
      </c>
      <c r="BC23" s="100" t="s">
        <v>527</v>
      </c>
      <c r="BD23" s="158">
        <v>0.30187995910000004</v>
      </c>
      <c r="BE23" s="158">
        <v>0.49659343720000004</v>
      </c>
      <c r="BF23" s="162">
        <v>1113</v>
      </c>
      <c r="BG23" s="162">
        <v>1078</v>
      </c>
      <c r="BH23" s="162">
        <v>2080</v>
      </c>
      <c r="BI23" s="162">
        <v>1005</v>
      </c>
      <c r="BJ23" s="162">
        <v>490</v>
      </c>
      <c r="BK23" s="97"/>
      <c r="BL23" s="97"/>
      <c r="BM23" s="97"/>
      <c r="BN23" s="97"/>
    </row>
    <row r="24" spans="1:66" ht="12.75">
      <c r="A24" s="79" t="s">
        <v>516</v>
      </c>
      <c r="B24" s="79" t="s">
        <v>304</v>
      </c>
      <c r="C24" s="79" t="s">
        <v>115</v>
      </c>
      <c r="D24" s="99">
        <v>2488</v>
      </c>
      <c r="E24" s="99">
        <v>345</v>
      </c>
      <c r="F24" s="99" t="s">
        <v>331</v>
      </c>
      <c r="G24" s="99">
        <v>12</v>
      </c>
      <c r="H24" s="99" t="s">
        <v>527</v>
      </c>
      <c r="I24" s="99">
        <v>27</v>
      </c>
      <c r="J24" s="99">
        <v>245</v>
      </c>
      <c r="K24" s="99">
        <v>217</v>
      </c>
      <c r="L24" s="99">
        <v>519</v>
      </c>
      <c r="M24" s="99">
        <v>169</v>
      </c>
      <c r="N24" s="99">
        <v>84</v>
      </c>
      <c r="O24" s="99">
        <v>28</v>
      </c>
      <c r="P24" s="159">
        <v>28</v>
      </c>
      <c r="Q24" s="99" t="s">
        <v>527</v>
      </c>
      <c r="R24" s="99" t="s">
        <v>527</v>
      </c>
      <c r="S24" s="99">
        <v>6</v>
      </c>
      <c r="T24" s="99">
        <v>7</v>
      </c>
      <c r="U24" s="99" t="s">
        <v>527</v>
      </c>
      <c r="V24" s="99">
        <v>8</v>
      </c>
      <c r="W24" s="99">
        <v>22</v>
      </c>
      <c r="X24" s="99" t="s">
        <v>527</v>
      </c>
      <c r="Y24" s="99">
        <v>20</v>
      </c>
      <c r="Z24" s="99">
        <v>8</v>
      </c>
      <c r="AA24" s="99" t="s">
        <v>527</v>
      </c>
      <c r="AB24" s="99" t="s">
        <v>527</v>
      </c>
      <c r="AC24" s="99" t="s">
        <v>527</v>
      </c>
      <c r="AD24" s="98" t="s">
        <v>309</v>
      </c>
      <c r="AE24" s="100">
        <v>0.13866559485530547</v>
      </c>
      <c r="AF24" s="100">
        <v>0.11</v>
      </c>
      <c r="AG24" s="98">
        <v>482.3151125401929</v>
      </c>
      <c r="AH24" s="98" t="s">
        <v>527</v>
      </c>
      <c r="AI24" s="100">
        <v>0.011000000000000001</v>
      </c>
      <c r="AJ24" s="100">
        <v>0.844828</v>
      </c>
      <c r="AK24" s="100">
        <v>0.766784</v>
      </c>
      <c r="AL24" s="100">
        <v>0.845277</v>
      </c>
      <c r="AM24" s="100">
        <v>0.584775</v>
      </c>
      <c r="AN24" s="100">
        <v>0.583333</v>
      </c>
      <c r="AO24" s="98">
        <v>1125.40192926045</v>
      </c>
      <c r="AP24" s="158">
        <v>0.6472093964</v>
      </c>
      <c r="AQ24" s="100" t="s">
        <v>527</v>
      </c>
      <c r="AR24" s="100" t="s">
        <v>527</v>
      </c>
      <c r="AS24" s="98">
        <v>241.15755627009645</v>
      </c>
      <c r="AT24" s="98">
        <v>281.3504823151125</v>
      </c>
      <c r="AU24" s="98" t="s">
        <v>527</v>
      </c>
      <c r="AV24" s="98">
        <v>321.54340836012864</v>
      </c>
      <c r="AW24" s="98">
        <v>884.2443729903537</v>
      </c>
      <c r="AX24" s="98" t="s">
        <v>527</v>
      </c>
      <c r="AY24" s="98">
        <v>803.8585209003215</v>
      </c>
      <c r="AZ24" s="98">
        <v>321.54340836012864</v>
      </c>
      <c r="BA24" s="100" t="s">
        <v>527</v>
      </c>
      <c r="BB24" s="100" t="s">
        <v>527</v>
      </c>
      <c r="BC24" s="100" t="s">
        <v>527</v>
      </c>
      <c r="BD24" s="158">
        <v>0.43006591800000005</v>
      </c>
      <c r="BE24" s="158">
        <v>0.9353977965999999</v>
      </c>
      <c r="BF24" s="162">
        <v>290</v>
      </c>
      <c r="BG24" s="162">
        <v>283</v>
      </c>
      <c r="BH24" s="162">
        <v>614</v>
      </c>
      <c r="BI24" s="162">
        <v>289</v>
      </c>
      <c r="BJ24" s="162">
        <v>144</v>
      </c>
      <c r="BK24" s="97"/>
      <c r="BL24" s="97"/>
      <c r="BM24" s="97"/>
      <c r="BN24" s="97"/>
    </row>
    <row r="25" spans="1:66" ht="12.75">
      <c r="A25" s="79" t="s">
        <v>505</v>
      </c>
      <c r="B25" s="79" t="s">
        <v>293</v>
      </c>
      <c r="C25" s="79" t="s">
        <v>115</v>
      </c>
      <c r="D25" s="99">
        <v>9558</v>
      </c>
      <c r="E25" s="99">
        <v>1261</v>
      </c>
      <c r="F25" s="99" t="s">
        <v>330</v>
      </c>
      <c r="G25" s="99">
        <v>39</v>
      </c>
      <c r="H25" s="99">
        <v>19</v>
      </c>
      <c r="I25" s="99">
        <v>100</v>
      </c>
      <c r="J25" s="99">
        <v>578</v>
      </c>
      <c r="K25" s="99">
        <v>582</v>
      </c>
      <c r="L25" s="99">
        <v>1436</v>
      </c>
      <c r="M25" s="99">
        <v>372</v>
      </c>
      <c r="N25" s="99">
        <v>178</v>
      </c>
      <c r="O25" s="99">
        <v>36</v>
      </c>
      <c r="P25" s="159">
        <v>36</v>
      </c>
      <c r="Q25" s="99">
        <v>6</v>
      </c>
      <c r="R25" s="99">
        <v>26</v>
      </c>
      <c r="S25" s="99" t="s">
        <v>527</v>
      </c>
      <c r="T25" s="99">
        <v>8</v>
      </c>
      <c r="U25" s="99">
        <v>7</v>
      </c>
      <c r="V25" s="99" t="s">
        <v>527</v>
      </c>
      <c r="W25" s="99">
        <v>41</v>
      </c>
      <c r="X25" s="99">
        <v>30</v>
      </c>
      <c r="Y25" s="99">
        <v>87</v>
      </c>
      <c r="Z25" s="99">
        <v>50</v>
      </c>
      <c r="AA25" s="99" t="s">
        <v>527</v>
      </c>
      <c r="AB25" s="99" t="s">
        <v>527</v>
      </c>
      <c r="AC25" s="99" t="s">
        <v>527</v>
      </c>
      <c r="AD25" s="98" t="s">
        <v>309</v>
      </c>
      <c r="AE25" s="100">
        <v>0.13193136639464323</v>
      </c>
      <c r="AF25" s="100">
        <v>0.25</v>
      </c>
      <c r="AG25" s="98">
        <v>408.0351537978657</v>
      </c>
      <c r="AH25" s="98">
        <v>198.78635697844737</v>
      </c>
      <c r="AI25" s="100">
        <v>0.01</v>
      </c>
      <c r="AJ25" s="100">
        <v>0.64437</v>
      </c>
      <c r="AK25" s="100">
        <v>0.661364</v>
      </c>
      <c r="AL25" s="100">
        <v>0.670089</v>
      </c>
      <c r="AM25" s="100">
        <v>0.458693</v>
      </c>
      <c r="AN25" s="100">
        <v>0.462338</v>
      </c>
      <c r="AO25" s="98">
        <v>376.6478342749529</v>
      </c>
      <c r="AP25" s="158">
        <v>0.2375284958</v>
      </c>
      <c r="AQ25" s="100">
        <v>0.16666666666666666</v>
      </c>
      <c r="AR25" s="100">
        <v>0.23076923076923078</v>
      </c>
      <c r="AS25" s="98" t="s">
        <v>527</v>
      </c>
      <c r="AT25" s="98">
        <v>83.69951872776731</v>
      </c>
      <c r="AU25" s="98">
        <v>73.2370788867964</v>
      </c>
      <c r="AV25" s="98" t="s">
        <v>527</v>
      </c>
      <c r="AW25" s="98">
        <v>428.96003347980746</v>
      </c>
      <c r="AX25" s="98">
        <v>313.8731952291274</v>
      </c>
      <c r="AY25" s="98">
        <v>910.2322661644696</v>
      </c>
      <c r="AZ25" s="98">
        <v>523.1219920485457</v>
      </c>
      <c r="BA25" s="100" t="s">
        <v>527</v>
      </c>
      <c r="BB25" s="100" t="s">
        <v>527</v>
      </c>
      <c r="BC25" s="100" t="s">
        <v>527</v>
      </c>
      <c r="BD25" s="158">
        <v>0.16636203770000002</v>
      </c>
      <c r="BE25" s="158">
        <v>0.3288395691</v>
      </c>
      <c r="BF25" s="162">
        <v>897</v>
      </c>
      <c r="BG25" s="162">
        <v>880</v>
      </c>
      <c r="BH25" s="162">
        <v>2143</v>
      </c>
      <c r="BI25" s="162">
        <v>811</v>
      </c>
      <c r="BJ25" s="162">
        <v>385</v>
      </c>
      <c r="BK25" s="97"/>
      <c r="BL25" s="97"/>
      <c r="BM25" s="97"/>
      <c r="BN25" s="97"/>
    </row>
    <row r="26" spans="1:66" ht="12.75">
      <c r="A26" s="79" t="s">
        <v>502</v>
      </c>
      <c r="B26" s="79" t="s">
        <v>290</v>
      </c>
      <c r="C26" s="79" t="s">
        <v>115</v>
      </c>
      <c r="D26" s="99">
        <v>10981</v>
      </c>
      <c r="E26" s="99">
        <v>1617</v>
      </c>
      <c r="F26" s="99" t="s">
        <v>331</v>
      </c>
      <c r="G26" s="99">
        <v>60</v>
      </c>
      <c r="H26" s="99">
        <v>22</v>
      </c>
      <c r="I26" s="99">
        <v>217</v>
      </c>
      <c r="J26" s="99">
        <v>1055</v>
      </c>
      <c r="K26" s="99">
        <v>20</v>
      </c>
      <c r="L26" s="99">
        <v>2495</v>
      </c>
      <c r="M26" s="99">
        <v>807</v>
      </c>
      <c r="N26" s="99">
        <v>407</v>
      </c>
      <c r="O26" s="99">
        <v>123</v>
      </c>
      <c r="P26" s="159">
        <v>123</v>
      </c>
      <c r="Q26" s="99">
        <v>18</v>
      </c>
      <c r="R26" s="99">
        <v>37</v>
      </c>
      <c r="S26" s="99">
        <v>17</v>
      </c>
      <c r="T26" s="99">
        <v>26</v>
      </c>
      <c r="U26" s="99" t="s">
        <v>527</v>
      </c>
      <c r="V26" s="99">
        <v>13</v>
      </c>
      <c r="W26" s="99">
        <v>72</v>
      </c>
      <c r="X26" s="99">
        <v>43</v>
      </c>
      <c r="Y26" s="99">
        <v>126</v>
      </c>
      <c r="Z26" s="99">
        <v>73</v>
      </c>
      <c r="AA26" s="99" t="s">
        <v>527</v>
      </c>
      <c r="AB26" s="99" t="s">
        <v>527</v>
      </c>
      <c r="AC26" s="99" t="s">
        <v>527</v>
      </c>
      <c r="AD26" s="98" t="s">
        <v>309</v>
      </c>
      <c r="AE26" s="100">
        <v>0.14725434841999818</v>
      </c>
      <c r="AF26" s="100">
        <v>0.1</v>
      </c>
      <c r="AG26" s="98">
        <v>546.3983243784719</v>
      </c>
      <c r="AH26" s="98">
        <v>200.34605227210636</v>
      </c>
      <c r="AI26" s="100">
        <v>0.02</v>
      </c>
      <c r="AJ26" s="100">
        <v>0.726584</v>
      </c>
      <c r="AK26" s="100">
        <v>0.5</v>
      </c>
      <c r="AL26" s="100">
        <v>0.863322</v>
      </c>
      <c r="AM26" s="100">
        <v>0.621726</v>
      </c>
      <c r="AN26" s="100">
        <v>0.67608</v>
      </c>
      <c r="AO26" s="98">
        <v>1120.1165649758675</v>
      </c>
      <c r="AP26" s="158">
        <v>0.6053985596</v>
      </c>
      <c r="AQ26" s="100">
        <v>0.14634146341463414</v>
      </c>
      <c r="AR26" s="100">
        <v>0.4864864864864865</v>
      </c>
      <c r="AS26" s="98">
        <v>154.81285857390037</v>
      </c>
      <c r="AT26" s="98">
        <v>236.77260723067116</v>
      </c>
      <c r="AU26" s="98" t="s">
        <v>527</v>
      </c>
      <c r="AV26" s="98">
        <v>118.38630361533558</v>
      </c>
      <c r="AW26" s="98">
        <v>655.6779892541663</v>
      </c>
      <c r="AX26" s="98">
        <v>391.5854658045715</v>
      </c>
      <c r="AY26" s="98">
        <v>1147.436481194791</v>
      </c>
      <c r="AZ26" s="98">
        <v>664.7846279938075</v>
      </c>
      <c r="BA26" s="100" t="s">
        <v>527</v>
      </c>
      <c r="BB26" s="100" t="s">
        <v>527</v>
      </c>
      <c r="BC26" s="100" t="s">
        <v>527</v>
      </c>
      <c r="BD26" s="158">
        <v>0.5031454086</v>
      </c>
      <c r="BE26" s="158">
        <v>0.7223262024</v>
      </c>
      <c r="BF26" s="162">
        <v>1452</v>
      </c>
      <c r="BG26" s="162">
        <v>40</v>
      </c>
      <c r="BH26" s="162">
        <v>2890</v>
      </c>
      <c r="BI26" s="162">
        <v>1298</v>
      </c>
      <c r="BJ26" s="162">
        <v>602</v>
      </c>
      <c r="BK26" s="97"/>
      <c r="BL26" s="97"/>
      <c r="BM26" s="97"/>
      <c r="BN26" s="97"/>
    </row>
    <row r="27" spans="1:66" ht="12.75">
      <c r="A27" s="79" t="s">
        <v>494</v>
      </c>
      <c r="B27" s="79" t="s">
        <v>282</v>
      </c>
      <c r="C27" s="79" t="s">
        <v>115</v>
      </c>
      <c r="D27" s="99">
        <v>11363</v>
      </c>
      <c r="E27" s="99">
        <v>1676</v>
      </c>
      <c r="F27" s="99" t="s">
        <v>332</v>
      </c>
      <c r="G27" s="99">
        <v>70</v>
      </c>
      <c r="H27" s="99">
        <v>35</v>
      </c>
      <c r="I27" s="99">
        <v>188</v>
      </c>
      <c r="J27" s="99">
        <v>941</v>
      </c>
      <c r="K27" s="99">
        <v>20</v>
      </c>
      <c r="L27" s="99">
        <v>2166</v>
      </c>
      <c r="M27" s="99">
        <v>669</v>
      </c>
      <c r="N27" s="99">
        <v>333</v>
      </c>
      <c r="O27" s="99">
        <v>199</v>
      </c>
      <c r="P27" s="159">
        <v>199</v>
      </c>
      <c r="Q27" s="99">
        <v>23</v>
      </c>
      <c r="R27" s="99">
        <v>51</v>
      </c>
      <c r="S27" s="99">
        <v>50</v>
      </c>
      <c r="T27" s="99">
        <v>28</v>
      </c>
      <c r="U27" s="99">
        <v>7</v>
      </c>
      <c r="V27" s="99">
        <v>30</v>
      </c>
      <c r="W27" s="99">
        <v>55</v>
      </c>
      <c r="X27" s="99">
        <v>34</v>
      </c>
      <c r="Y27" s="99">
        <v>177</v>
      </c>
      <c r="Z27" s="99">
        <v>73</v>
      </c>
      <c r="AA27" s="99" t="s">
        <v>527</v>
      </c>
      <c r="AB27" s="99" t="s">
        <v>527</v>
      </c>
      <c r="AC27" s="99" t="s">
        <v>527</v>
      </c>
      <c r="AD27" s="98" t="s">
        <v>309</v>
      </c>
      <c r="AE27" s="100">
        <v>0.14749625979054828</v>
      </c>
      <c r="AF27" s="100">
        <v>0.16</v>
      </c>
      <c r="AG27" s="98">
        <v>616.0344979318842</v>
      </c>
      <c r="AH27" s="98">
        <v>308.0172489659421</v>
      </c>
      <c r="AI27" s="100">
        <v>0.017</v>
      </c>
      <c r="AJ27" s="100">
        <v>0.669751</v>
      </c>
      <c r="AK27" s="100">
        <v>0.555556</v>
      </c>
      <c r="AL27" s="100">
        <v>0.769723</v>
      </c>
      <c r="AM27" s="100">
        <v>0.521434</v>
      </c>
      <c r="AN27" s="100">
        <v>0.541463</v>
      </c>
      <c r="AO27" s="98">
        <v>1751.2980726920707</v>
      </c>
      <c r="AP27" s="158">
        <v>0.9735884857000001</v>
      </c>
      <c r="AQ27" s="100">
        <v>0.11557788944723618</v>
      </c>
      <c r="AR27" s="100">
        <v>0.45098039215686275</v>
      </c>
      <c r="AS27" s="98">
        <v>440.0246413799173</v>
      </c>
      <c r="AT27" s="98">
        <v>246.41379917275367</v>
      </c>
      <c r="AU27" s="98">
        <v>61.60344979318842</v>
      </c>
      <c r="AV27" s="98">
        <v>264.0147848279504</v>
      </c>
      <c r="AW27" s="98">
        <v>484.027105517909</v>
      </c>
      <c r="AX27" s="98">
        <v>299.2167561383437</v>
      </c>
      <c r="AY27" s="98">
        <v>1557.687230484907</v>
      </c>
      <c r="AZ27" s="98">
        <v>642.4359764146792</v>
      </c>
      <c r="BA27" s="100" t="s">
        <v>527</v>
      </c>
      <c r="BB27" s="100" t="s">
        <v>527</v>
      </c>
      <c r="BC27" s="100" t="s">
        <v>527</v>
      </c>
      <c r="BD27" s="158">
        <v>0.8430116271999999</v>
      </c>
      <c r="BE27" s="158">
        <v>1.118661728</v>
      </c>
      <c r="BF27" s="162">
        <v>1405</v>
      </c>
      <c r="BG27" s="162">
        <v>36</v>
      </c>
      <c r="BH27" s="162">
        <v>2814</v>
      </c>
      <c r="BI27" s="162">
        <v>1283</v>
      </c>
      <c r="BJ27" s="162">
        <v>615</v>
      </c>
      <c r="BK27" s="97"/>
      <c r="BL27" s="97"/>
      <c r="BM27" s="97"/>
      <c r="BN27" s="97"/>
    </row>
    <row r="28" spans="1:66" ht="12.75">
      <c r="A28" s="79" t="s">
        <v>501</v>
      </c>
      <c r="B28" s="79" t="s">
        <v>289</v>
      </c>
      <c r="C28" s="79" t="s">
        <v>115</v>
      </c>
      <c r="D28" s="99">
        <v>13318</v>
      </c>
      <c r="E28" s="99">
        <v>2434</v>
      </c>
      <c r="F28" s="99" t="s">
        <v>333</v>
      </c>
      <c r="G28" s="99">
        <v>74</v>
      </c>
      <c r="H28" s="99">
        <v>32</v>
      </c>
      <c r="I28" s="99">
        <v>250</v>
      </c>
      <c r="J28" s="99">
        <v>1434</v>
      </c>
      <c r="K28" s="99">
        <v>1201</v>
      </c>
      <c r="L28" s="99">
        <v>2820</v>
      </c>
      <c r="M28" s="99">
        <v>1036</v>
      </c>
      <c r="N28" s="99">
        <v>495</v>
      </c>
      <c r="O28" s="99">
        <v>236</v>
      </c>
      <c r="P28" s="159">
        <v>236</v>
      </c>
      <c r="Q28" s="99">
        <v>27</v>
      </c>
      <c r="R28" s="99">
        <v>67</v>
      </c>
      <c r="S28" s="99">
        <v>40</v>
      </c>
      <c r="T28" s="99">
        <v>45</v>
      </c>
      <c r="U28" s="99" t="s">
        <v>527</v>
      </c>
      <c r="V28" s="99">
        <v>53</v>
      </c>
      <c r="W28" s="99">
        <v>80</v>
      </c>
      <c r="X28" s="99">
        <v>37</v>
      </c>
      <c r="Y28" s="99">
        <v>155</v>
      </c>
      <c r="Z28" s="99">
        <v>82</v>
      </c>
      <c r="AA28" s="99" t="s">
        <v>527</v>
      </c>
      <c r="AB28" s="99" t="s">
        <v>527</v>
      </c>
      <c r="AC28" s="99" t="s">
        <v>527</v>
      </c>
      <c r="AD28" s="98" t="s">
        <v>309</v>
      </c>
      <c r="AE28" s="100">
        <v>0.1827601742003304</v>
      </c>
      <c r="AF28" s="100">
        <v>0.07</v>
      </c>
      <c r="AG28" s="98">
        <v>555.6389848325574</v>
      </c>
      <c r="AH28" s="98">
        <v>240.27631776543024</v>
      </c>
      <c r="AI28" s="100">
        <v>0.019</v>
      </c>
      <c r="AJ28" s="100">
        <v>0.806978</v>
      </c>
      <c r="AK28" s="100">
        <v>0.798537</v>
      </c>
      <c r="AL28" s="100">
        <v>0.837292</v>
      </c>
      <c r="AM28" s="100">
        <v>0.650754</v>
      </c>
      <c r="AN28" s="100">
        <v>0.647906</v>
      </c>
      <c r="AO28" s="98">
        <v>1772.037843520048</v>
      </c>
      <c r="AP28" s="158">
        <v>0.886175766</v>
      </c>
      <c r="AQ28" s="100">
        <v>0.11440677966101695</v>
      </c>
      <c r="AR28" s="100">
        <v>0.40298507462686567</v>
      </c>
      <c r="AS28" s="98">
        <v>300.3453972067878</v>
      </c>
      <c r="AT28" s="98">
        <v>337.8885718576363</v>
      </c>
      <c r="AU28" s="98" t="s">
        <v>527</v>
      </c>
      <c r="AV28" s="98">
        <v>397.9576512989938</v>
      </c>
      <c r="AW28" s="98">
        <v>600.6907944135756</v>
      </c>
      <c r="AX28" s="98">
        <v>277.8194924162787</v>
      </c>
      <c r="AY28" s="98">
        <v>1163.8384141763026</v>
      </c>
      <c r="AZ28" s="98">
        <v>615.708064273915</v>
      </c>
      <c r="BA28" s="100" t="s">
        <v>527</v>
      </c>
      <c r="BB28" s="100" t="s">
        <v>527</v>
      </c>
      <c r="BC28" s="100" t="s">
        <v>527</v>
      </c>
      <c r="BD28" s="158">
        <v>0.7767124176</v>
      </c>
      <c r="BE28" s="158">
        <v>1.006744385</v>
      </c>
      <c r="BF28" s="162">
        <v>1777</v>
      </c>
      <c r="BG28" s="162">
        <v>1504</v>
      </c>
      <c r="BH28" s="162">
        <v>3368</v>
      </c>
      <c r="BI28" s="162">
        <v>1592</v>
      </c>
      <c r="BJ28" s="162">
        <v>764</v>
      </c>
      <c r="BK28" s="97"/>
      <c r="BL28" s="97"/>
      <c r="BM28" s="97"/>
      <c r="BN28" s="97"/>
    </row>
    <row r="29" spans="1:66" ht="12.75">
      <c r="A29" s="79" t="s">
        <v>499</v>
      </c>
      <c r="B29" s="79" t="s">
        <v>287</v>
      </c>
      <c r="C29" s="79" t="s">
        <v>115</v>
      </c>
      <c r="D29" s="99">
        <v>13471</v>
      </c>
      <c r="E29" s="99">
        <v>2351</v>
      </c>
      <c r="F29" s="99" t="s">
        <v>332</v>
      </c>
      <c r="G29" s="99">
        <v>74</v>
      </c>
      <c r="H29" s="99">
        <v>32</v>
      </c>
      <c r="I29" s="99">
        <v>230</v>
      </c>
      <c r="J29" s="99">
        <v>1277</v>
      </c>
      <c r="K29" s="99" t="s">
        <v>527</v>
      </c>
      <c r="L29" s="99">
        <v>2644</v>
      </c>
      <c r="M29" s="99">
        <v>961</v>
      </c>
      <c r="N29" s="99">
        <v>485</v>
      </c>
      <c r="O29" s="99">
        <v>155</v>
      </c>
      <c r="P29" s="159">
        <v>155</v>
      </c>
      <c r="Q29" s="99">
        <v>30</v>
      </c>
      <c r="R29" s="99">
        <v>57</v>
      </c>
      <c r="S29" s="99">
        <v>35</v>
      </c>
      <c r="T29" s="99">
        <v>23</v>
      </c>
      <c r="U29" s="99">
        <v>6</v>
      </c>
      <c r="V29" s="99">
        <v>23</v>
      </c>
      <c r="W29" s="99">
        <v>63</v>
      </c>
      <c r="X29" s="99">
        <v>46</v>
      </c>
      <c r="Y29" s="99">
        <v>184</v>
      </c>
      <c r="Z29" s="99">
        <v>67</v>
      </c>
      <c r="AA29" s="99" t="s">
        <v>527</v>
      </c>
      <c r="AB29" s="99" t="s">
        <v>527</v>
      </c>
      <c r="AC29" s="99" t="s">
        <v>527</v>
      </c>
      <c r="AD29" s="98" t="s">
        <v>309</v>
      </c>
      <c r="AE29" s="100">
        <v>0.17452304951377032</v>
      </c>
      <c r="AF29" s="100">
        <v>0.16</v>
      </c>
      <c r="AG29" s="98">
        <v>549.3281864746492</v>
      </c>
      <c r="AH29" s="98">
        <v>237.5473238809294</v>
      </c>
      <c r="AI29" s="100">
        <v>0.017</v>
      </c>
      <c r="AJ29" s="100">
        <v>0.693645</v>
      </c>
      <c r="AK29" s="100" t="s">
        <v>527</v>
      </c>
      <c r="AL29" s="100">
        <v>0.769948</v>
      </c>
      <c r="AM29" s="100">
        <v>0.571344</v>
      </c>
      <c r="AN29" s="100">
        <v>0.608532</v>
      </c>
      <c r="AO29" s="98">
        <v>1150.6198500482517</v>
      </c>
      <c r="AP29" s="158">
        <v>0.5851758957</v>
      </c>
      <c r="AQ29" s="100">
        <v>0.1935483870967742</v>
      </c>
      <c r="AR29" s="100">
        <v>0.5263157894736842</v>
      </c>
      <c r="AS29" s="98">
        <v>259.81738549476654</v>
      </c>
      <c r="AT29" s="98">
        <v>170.737139039418</v>
      </c>
      <c r="AU29" s="98">
        <v>44.540123227674265</v>
      </c>
      <c r="AV29" s="98">
        <v>170.737139039418</v>
      </c>
      <c r="AW29" s="98">
        <v>467.67129389057976</v>
      </c>
      <c r="AX29" s="98">
        <v>341.474278078836</v>
      </c>
      <c r="AY29" s="98">
        <v>1365.897112315344</v>
      </c>
      <c r="AZ29" s="98">
        <v>497.36470937569595</v>
      </c>
      <c r="BA29" s="100" t="s">
        <v>527</v>
      </c>
      <c r="BB29" s="100" t="s">
        <v>527</v>
      </c>
      <c r="BC29" s="100" t="s">
        <v>527</v>
      </c>
      <c r="BD29" s="158">
        <v>0.49667900090000006</v>
      </c>
      <c r="BE29" s="158">
        <v>0.6848932648</v>
      </c>
      <c r="BF29" s="162">
        <v>1841</v>
      </c>
      <c r="BG29" s="162" t="s">
        <v>527</v>
      </c>
      <c r="BH29" s="162">
        <v>3434</v>
      </c>
      <c r="BI29" s="162">
        <v>1682</v>
      </c>
      <c r="BJ29" s="162">
        <v>797</v>
      </c>
      <c r="BK29" s="97"/>
      <c r="BL29" s="97"/>
      <c r="BM29" s="97"/>
      <c r="BN29" s="97"/>
    </row>
    <row r="30" spans="1:66" ht="12.75">
      <c r="A30" s="79" t="s">
        <v>382</v>
      </c>
      <c r="B30" s="94" t="s">
        <v>115</v>
      </c>
      <c r="C30" s="94" t="s">
        <v>7</v>
      </c>
      <c r="D30" s="99">
        <v>208863</v>
      </c>
      <c r="E30" s="99">
        <v>32247</v>
      </c>
      <c r="F30" s="99">
        <v>33130.69</v>
      </c>
      <c r="G30" s="99">
        <v>1034</v>
      </c>
      <c r="H30" s="99">
        <v>526</v>
      </c>
      <c r="I30" s="99">
        <v>3448</v>
      </c>
      <c r="J30" s="99">
        <v>18438</v>
      </c>
      <c r="K30" s="99">
        <v>8476</v>
      </c>
      <c r="L30" s="99">
        <v>41069</v>
      </c>
      <c r="M30" s="99">
        <v>12724</v>
      </c>
      <c r="N30" s="99">
        <v>6342</v>
      </c>
      <c r="O30" s="99">
        <v>2569</v>
      </c>
      <c r="P30" s="99">
        <v>2569</v>
      </c>
      <c r="Q30" s="99">
        <v>355</v>
      </c>
      <c r="R30" s="99">
        <v>837</v>
      </c>
      <c r="S30" s="99">
        <v>433</v>
      </c>
      <c r="T30" s="99">
        <v>437</v>
      </c>
      <c r="U30" s="99">
        <v>153</v>
      </c>
      <c r="V30" s="99">
        <v>438</v>
      </c>
      <c r="W30" s="99">
        <v>1095</v>
      </c>
      <c r="X30" s="99">
        <v>716</v>
      </c>
      <c r="Y30" s="99">
        <v>2422</v>
      </c>
      <c r="Z30" s="99">
        <v>1275</v>
      </c>
      <c r="AA30" s="99">
        <v>0</v>
      </c>
      <c r="AB30" s="99">
        <v>0</v>
      </c>
      <c r="AC30" s="99">
        <v>0</v>
      </c>
      <c r="AD30" s="98">
        <v>0</v>
      </c>
      <c r="AE30" s="101">
        <v>0.15439307105614686</v>
      </c>
      <c r="AF30" s="101">
        <v>0.15862402627559694</v>
      </c>
      <c r="AG30" s="98">
        <v>495.06135600848404</v>
      </c>
      <c r="AH30" s="98">
        <v>251.8397226890354</v>
      </c>
      <c r="AI30" s="101">
        <v>0.016508428970186197</v>
      </c>
      <c r="AJ30" s="101">
        <v>0.724393981063136</v>
      </c>
      <c r="AK30" s="101">
        <v>0.7541596227422368</v>
      </c>
      <c r="AL30" s="101">
        <v>0.7985261807081332</v>
      </c>
      <c r="AM30" s="101">
        <v>0.5557302585604472</v>
      </c>
      <c r="AN30" s="101">
        <v>0.5690444145356662</v>
      </c>
      <c r="AO30" s="98">
        <v>1229.992866137133</v>
      </c>
      <c r="AP30" s="98">
        <v>0</v>
      </c>
      <c r="AQ30" s="101">
        <v>0.13818606461658234</v>
      </c>
      <c r="AR30" s="101">
        <v>0.4241338112305854</v>
      </c>
      <c r="AS30" s="98">
        <v>207.31292761283711</v>
      </c>
      <c r="AT30" s="98">
        <v>209.2280585838564</v>
      </c>
      <c r="AU30" s="98">
        <v>73.25375964148748</v>
      </c>
      <c r="AV30" s="98">
        <v>209.70684132661123</v>
      </c>
      <c r="AW30" s="98">
        <v>524.267103316528</v>
      </c>
      <c r="AX30" s="98">
        <v>342.80844381245123</v>
      </c>
      <c r="AY30" s="98">
        <v>1159.6118029521745</v>
      </c>
      <c r="AZ30" s="98">
        <v>610.4479970123957</v>
      </c>
      <c r="BA30" s="101">
        <v>0</v>
      </c>
      <c r="BB30" s="101">
        <v>0</v>
      </c>
      <c r="BC30" s="101">
        <v>0</v>
      </c>
      <c r="BD30" s="98">
        <v>0</v>
      </c>
      <c r="BE30" s="98">
        <v>0</v>
      </c>
      <c r="BF30" s="99">
        <v>25453</v>
      </c>
      <c r="BG30" s="99">
        <v>11239</v>
      </c>
      <c r="BH30" s="99">
        <v>51431</v>
      </c>
      <c r="BI30" s="99">
        <v>22896</v>
      </c>
      <c r="BJ30" s="99">
        <v>11145</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8"/>
      <c r="C33" s="8"/>
      <c r="D33" s="299"/>
      <c r="E33" s="299"/>
      <c r="F33" s="299"/>
      <c r="G33" s="299"/>
      <c r="H33" s="299"/>
      <c r="I33" s="299"/>
      <c r="J33" s="299"/>
      <c r="K33" s="299"/>
      <c r="L33" s="299"/>
      <c r="M33" s="299"/>
      <c r="N33" s="299"/>
      <c r="O33" s="299"/>
      <c r="P33" s="300"/>
      <c r="Q33" s="299"/>
      <c r="R33" s="299"/>
      <c r="S33" s="299"/>
      <c r="T33" s="299"/>
      <c r="U33" s="299"/>
      <c r="V33" s="299"/>
      <c r="W33" s="299"/>
      <c r="X33" s="299"/>
      <c r="Y33" s="299"/>
      <c r="Z33" s="299"/>
      <c r="AA33" s="299"/>
      <c r="AB33" s="299"/>
      <c r="AC33" s="299"/>
      <c r="AD33" s="295"/>
      <c r="AE33" s="301"/>
      <c r="AF33" s="301"/>
      <c r="AG33" s="295"/>
      <c r="AH33" s="295"/>
      <c r="AI33" s="301"/>
      <c r="AJ33" s="301"/>
      <c r="AK33" s="301"/>
      <c r="AL33" s="301"/>
      <c r="AM33" s="301"/>
      <c r="AN33" s="301"/>
      <c r="AO33" s="295"/>
      <c r="AP33" s="296"/>
      <c r="AQ33" s="301"/>
      <c r="AR33" s="301"/>
      <c r="AS33" s="295"/>
      <c r="AT33" s="295"/>
      <c r="AU33" s="295"/>
      <c r="AV33" s="295"/>
      <c r="AW33" s="295"/>
      <c r="AX33" s="295"/>
      <c r="AY33" s="295"/>
      <c r="AZ33" s="295"/>
      <c r="BA33" s="301"/>
      <c r="BB33" s="301"/>
      <c r="BC33" s="301"/>
      <c r="BD33" s="296"/>
      <c r="BE33" s="296"/>
      <c r="BF33" s="297"/>
      <c r="BG33" s="297"/>
      <c r="BH33" s="297"/>
      <c r="BI33" s="297"/>
      <c r="BJ33" s="297"/>
      <c r="BK33" s="97"/>
      <c r="BL33" s="97"/>
      <c r="BM33" s="97"/>
      <c r="BN33" s="97"/>
    </row>
    <row r="34" spans="1:66" ht="12.75">
      <c r="A34" s="8"/>
      <c r="B34" s="8"/>
      <c r="C34" s="8"/>
      <c r="D34" s="299"/>
      <c r="E34" s="299"/>
      <c r="F34" s="299"/>
      <c r="G34" s="299"/>
      <c r="H34" s="299"/>
      <c r="I34" s="299"/>
      <c r="J34" s="299"/>
      <c r="K34" s="299"/>
      <c r="L34" s="299"/>
      <c r="M34" s="299"/>
      <c r="N34" s="299"/>
      <c r="O34" s="299"/>
      <c r="P34" s="300"/>
      <c r="Q34" s="299"/>
      <c r="R34" s="299"/>
      <c r="S34" s="299"/>
      <c r="T34" s="299"/>
      <c r="U34" s="299"/>
      <c r="V34" s="299"/>
      <c r="W34" s="299"/>
      <c r="X34" s="299"/>
      <c r="Y34" s="299"/>
      <c r="Z34" s="299"/>
      <c r="AA34" s="299"/>
      <c r="AB34" s="299"/>
      <c r="AC34" s="299"/>
      <c r="AD34" s="295"/>
      <c r="AE34" s="301"/>
      <c r="AF34" s="301"/>
      <c r="AG34" s="295"/>
      <c r="AH34" s="295"/>
      <c r="AI34" s="301"/>
      <c r="AJ34" s="301"/>
      <c r="AK34" s="301"/>
      <c r="AL34" s="301"/>
      <c r="AM34" s="301"/>
      <c r="AN34" s="301"/>
      <c r="AO34" s="295"/>
      <c r="AP34" s="296"/>
      <c r="AQ34" s="301"/>
      <c r="AR34" s="301"/>
      <c r="AS34" s="295"/>
      <c r="AT34" s="295"/>
      <c r="AU34" s="295"/>
      <c r="AV34" s="295"/>
      <c r="AW34" s="295"/>
      <c r="AX34" s="295"/>
      <c r="AY34" s="295"/>
      <c r="AZ34" s="295"/>
      <c r="BA34" s="301"/>
      <c r="BB34" s="301"/>
      <c r="BC34" s="301"/>
      <c r="BD34" s="296"/>
      <c r="BE34" s="296"/>
      <c r="BF34" s="297"/>
      <c r="BG34" s="297"/>
      <c r="BH34" s="297"/>
      <c r="BI34" s="297"/>
      <c r="BJ34" s="297"/>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298"/>
      <c r="C51" s="298"/>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5"/>
      <c r="AE51" s="302"/>
      <c r="AF51" s="302"/>
      <c r="AG51" s="295"/>
      <c r="AH51" s="295"/>
      <c r="AI51" s="302"/>
      <c r="AJ51" s="302"/>
      <c r="AK51" s="302"/>
      <c r="AL51" s="302"/>
      <c r="AM51" s="302"/>
      <c r="AN51" s="302"/>
      <c r="AO51" s="295"/>
      <c r="AP51" s="295"/>
      <c r="AQ51" s="302"/>
      <c r="AR51" s="302"/>
      <c r="AS51" s="295"/>
      <c r="AT51" s="295"/>
      <c r="AU51" s="295"/>
      <c r="AV51" s="295"/>
      <c r="AW51" s="295"/>
      <c r="AX51" s="295"/>
      <c r="AY51" s="295"/>
      <c r="AZ51" s="295"/>
      <c r="BA51" s="302"/>
      <c r="BB51" s="302"/>
      <c r="BC51" s="302"/>
      <c r="BD51" s="295"/>
      <c r="BE51" s="295"/>
      <c r="BF51" s="299"/>
      <c r="BG51" s="299"/>
      <c r="BH51" s="299"/>
      <c r="BI51" s="299"/>
      <c r="BJ51" s="299"/>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359</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441</v>
      </c>
      <c r="Q4" s="75" t="s">
        <v>442</v>
      </c>
      <c r="R4" s="75" t="s">
        <v>443</v>
      </c>
      <c r="S4" s="75" t="s">
        <v>444</v>
      </c>
      <c r="T4" s="39" t="s">
        <v>278</v>
      </c>
      <c r="U4" s="40" t="s">
        <v>279</v>
      </c>
      <c r="V4" s="41" t="s">
        <v>7</v>
      </c>
      <c r="W4" s="24" t="s">
        <v>2</v>
      </c>
      <c r="X4" s="24" t="s">
        <v>3</v>
      </c>
      <c r="Y4" s="75" t="s">
        <v>531</v>
      </c>
      <c r="Z4" s="75" t="s">
        <v>530</v>
      </c>
      <c r="AA4" s="26" t="s">
        <v>280</v>
      </c>
      <c r="AB4" s="24" t="s">
        <v>5</v>
      </c>
      <c r="AC4" s="75" t="s">
        <v>35</v>
      </c>
      <c r="AD4" s="24" t="s">
        <v>6</v>
      </c>
      <c r="AE4" s="24" t="s">
        <v>281</v>
      </c>
      <c r="AF4" s="24" t="s">
        <v>16</v>
      </c>
      <c r="AG4" s="24" t="s">
        <v>15</v>
      </c>
      <c r="AH4" s="24" t="s">
        <v>14</v>
      </c>
      <c r="AI4" s="25" t="s">
        <v>30</v>
      </c>
      <c r="AJ4" s="47" t="s">
        <v>10</v>
      </c>
      <c r="AK4" s="26" t="s">
        <v>21</v>
      </c>
      <c r="AL4" s="25" t="s">
        <v>22</v>
      </c>
      <c r="AQ4" s="102" t="s">
        <v>356</v>
      </c>
      <c r="AR4" s="102" t="s">
        <v>358</v>
      </c>
      <c r="AS4" s="102" t="s">
        <v>357</v>
      </c>
      <c r="AY4" s="102" t="s">
        <v>438</v>
      </c>
      <c r="AZ4" s="102" t="s">
        <v>439</v>
      </c>
      <c r="BA4" s="102" t="s">
        <v>440</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379</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364</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1241</v>
      </c>
      <c r="E7" s="38">
        <f>IF(LEFT(VLOOKUP($B7,'Indicator chart'!$D$1:$J$36,5,FALSE),1)=" "," ",VLOOKUP($B7,'Indicator chart'!$D$1:$J$36,5,FALSE))</f>
        <v>0.15520260130065033</v>
      </c>
      <c r="F7" s="38">
        <f>IF(LEFT(VLOOKUP($B7,'Indicator chart'!$D$1:$J$36,6,FALSE),1)=" "," ",VLOOKUP($B7,'Indicator chart'!$D$1:$J$36,6,FALSE))</f>
        <v>0.14743155443078523</v>
      </c>
      <c r="G7" s="38">
        <f>IF(LEFT(VLOOKUP($B7,'Indicator chart'!$D$1:$J$36,7,FALSE),1)=" "," ",VLOOKUP($B7,'Indicator chart'!$D$1:$J$36,7,FALSE))</f>
        <v>0.16330479814899587</v>
      </c>
      <c r="H7" s="50">
        <f aca="true" t="shared" si="0" ref="H7:H31">IF(LEFT(F7,1)=" ",4,IF(AND(ABS(N7-E7)&gt;SQRT((E7-G7)^2+(N7-R7)^2),E7&lt;N7),1,IF(AND(ABS(N7-E7)&gt;SQRT((E7-F7)^2+(N7-S7)^2),E7&gt;N7),3,2)))</f>
        <v>2</v>
      </c>
      <c r="I7" s="38">
        <v>0.05564142018556595</v>
      </c>
      <c r="J7" s="38">
        <v>0.13007180392742157</v>
      </c>
      <c r="K7" s="38">
        <v>0.1504289209842682</v>
      </c>
      <c r="L7" s="38">
        <v>0.17834621667861938</v>
      </c>
      <c r="M7" s="38">
        <v>0.22821488976478577</v>
      </c>
      <c r="N7" s="80">
        <f>VLOOKUP('Hide - Control'!B$3,'All practice data'!A:CA,A7+29,FALSE)</f>
        <v>0.15439307105614686</v>
      </c>
      <c r="O7" s="80">
        <f>VLOOKUP('Hide - Control'!C$3,'All practice data'!A:CA,A7+29,FALSE)</f>
        <v>0.1599882305185145</v>
      </c>
      <c r="P7" s="38">
        <f>VLOOKUP('Hide - Control'!$B$4,'All practice data'!B:BC,A7+2,FALSE)</f>
        <v>32247</v>
      </c>
      <c r="Q7" s="38">
        <f>VLOOKUP('Hide - Control'!$B$4,'All practice data'!B:BC,3,FALSE)</f>
        <v>208863</v>
      </c>
      <c r="R7" s="38">
        <f>+((2*P7+1.96^2-1.96*SQRT(1.96^2+4*P7*(1-P7/Q7)))/(2*(Q7+1.96^2)))</f>
        <v>0.15284981503787082</v>
      </c>
      <c r="S7" s="38">
        <f>+((2*P7+1.96^2+1.96*SQRT(1.96^2+4*P7*(1-P7/Q7)))/(2*(Q7+1.96^2)))</f>
        <v>0.15594904028029183</v>
      </c>
      <c r="T7" s="53">
        <f>IF($C7=1,M7,I7)</f>
        <v>0.22821488976478577</v>
      </c>
      <c r="U7" s="51">
        <f aca="true" t="shared" si="1" ref="U7:U15">IF($C7=1,I7,M7)</f>
        <v>0.05564142018556595</v>
      </c>
      <c r="V7" s="7">
        <v>1</v>
      </c>
      <c r="W7" s="27">
        <f aca="true" t="shared" si="2" ref="W7:W31">IF((K7-I7)&gt;(M7-K7),I7,(K7-(M7-K7)))</f>
        <v>0.05564142018556595</v>
      </c>
      <c r="X7" s="27">
        <f aca="true" t="shared" si="3" ref="X7:X31">IF(W7=I7,K7+(K7-I7),M7)</f>
        <v>0.24521642178297043</v>
      </c>
      <c r="Y7" s="27">
        <f aca="true" t="shared" si="4" ref="Y7:Y31">IF(C7=1,W7,X7)</f>
        <v>0.05564142018556595</v>
      </c>
      <c r="Z7" s="27">
        <f aca="true" t="shared" si="5" ref="Z7:Z31">IF(C7=1,X7,W7)</f>
        <v>0.24521642178297043</v>
      </c>
      <c r="AA7" s="32">
        <f aca="true" t="shared" si="6" ref="AA7:AA31">IF(ISERROR(IF(C7=1,(I7-$Y7)/($Z7-$Y7),(U7-$Y7)/($Z7-$Y7))),"",IF(C7=1,(I7-$Y7)/($Z7-$Y7),(U7-$Y7)/($Z7-$Y7)))</f>
        <v>0</v>
      </c>
      <c r="AB7" s="33">
        <f aca="true" t="shared" si="7" ref="AB7:AB31">IF(ISERROR(IF(C7=1,(J7-$Y7)/($Z7-$Y7),(L7-$Y7)/($Z7-$Y7))),"",IF(C7=1,(J7-$Y7)/($Z7-$Y7),(L7-$Y7)/($Z7-$Y7)))</f>
        <v>0.39261708091619324</v>
      </c>
      <c r="AC7" s="33">
        <v>0.5</v>
      </c>
      <c r="AD7" s="33">
        <f aca="true" t="shared" si="8" ref="AD7:AD31">IF(ISERROR(IF(C7=1,(L7-$Y7)/($Z7-$Y7),(J7-$Y7)/($Z7-$Y7))),"",IF(C7=1,(L7-$Y7)/($Z7-$Y7),(J7-$Y7)/($Z7-$Y7)))</f>
        <v>0.6472625370387095</v>
      </c>
      <c r="AE7" s="33">
        <f aca="true" t="shared" si="9" ref="AE7:AE31">IF(ISERROR(IF(C7=1,(M7-$Y7)/($Z7-$Y7),(I7-$Y7)/($Z7-$Y7))),"",IF(C7=1,(M7-$Y7)/($Z7-$Y7),(I7-$Y7)/($Z7-$Y7)))</f>
        <v>0.9103176480288768</v>
      </c>
      <c r="AF7" s="33">
        <f aca="true" t="shared" si="10" ref="AF7:AF30">IF(E7=" ",-999,IF(H7=4,(E7-$Y7)/($Z7-$Y7),-999))</f>
        <v>-999</v>
      </c>
      <c r="AG7" s="33">
        <f aca="true" t="shared" si="11" ref="AG7:AG31">IF(E7=" ",-999,IF(H7=2,(E7-$Y7)/($Z7-$Y7),-999))</f>
        <v>0.5251809588614426</v>
      </c>
      <c r="AH7" s="33">
        <f aca="true" t="shared" si="12" ref="AH7:AH31">IF(E7=" ",-999,IF(MAX(AK7:AL7)&gt;-999,MAX(AK7:AL7),-999))</f>
        <v>-999</v>
      </c>
      <c r="AI7" s="34">
        <f aca="true" t="shared" si="13" ref="AI7:AI31">IF(ISERROR((O7-$Y7)/($Z7-$Y7)),-999,(O7-$Y7)/($Z7-$Y7))</f>
        <v>0.5504249476655533</v>
      </c>
      <c r="AJ7" s="4">
        <v>2.7020512924389086</v>
      </c>
      <c r="AK7" s="32">
        <f aca="true" t="shared" si="14" ref="AK7:AK31">IF(H7=1,(E7-$Y7)/($Z7-$Y7),-999)</f>
        <v>-999</v>
      </c>
      <c r="AL7" s="34">
        <f aca="true" t="shared" si="15" ref="AL7:AL31">IF(H7=3,(E7-$Y7)/($Z7-$Y7),-999)</f>
        <v>-999</v>
      </c>
      <c r="AQ7" s="103">
        <v>2</v>
      </c>
      <c r="AR7" s="103">
        <v>0.2422</v>
      </c>
      <c r="AS7" s="103">
        <v>7.2247</v>
      </c>
      <c r="AY7" s="103" t="s">
        <v>68</v>
      </c>
      <c r="AZ7" s="103" t="s">
        <v>363</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3</v>
      </c>
      <c r="E8" s="38">
        <f>IF(LEFT(VLOOKUP($B8,'Indicator chart'!$D$1:$J$36,5,FALSE),1)=" "," ",VLOOKUP($B8,'Indicator chart'!$D$1:$J$36,5,FALSE))</f>
        <v>0.15</v>
      </c>
      <c r="F8" s="38">
        <f>IF(LEFT(VLOOKUP($B8,'Indicator chart'!$D$1:$J$36,6,FALSE),1)=" "," ",VLOOKUP($B8,'Indicator chart'!$D$1:$J$36,6,FALSE))</f>
        <v>0.14234151847067247</v>
      </c>
      <c r="G8" s="38">
        <f>IF(LEFT(VLOOKUP($B8,'Indicator chart'!$D$1:$J$36,7,FALSE),1)=" "," ",VLOOKUP($B8,'Indicator chart'!$D$1:$J$36,7,FALSE))</f>
        <v>0.1579946281850313</v>
      </c>
      <c r="H8" s="50">
        <f t="shared" si="0"/>
        <v>1</v>
      </c>
      <c r="I8" s="38">
        <v>0.07000000029802322</v>
      </c>
      <c r="J8" s="38">
        <v>0.11999999731779099</v>
      </c>
      <c r="K8" s="38">
        <v>0.1550000011920929</v>
      </c>
      <c r="L8" s="38">
        <v>0.20749999582767487</v>
      </c>
      <c r="M8" s="38">
        <v>0.36000001430511475</v>
      </c>
      <c r="N8" s="80">
        <f>VLOOKUP('Hide - Control'!B$3,'All practice data'!A:CA,A8+29,FALSE)</f>
        <v>0.15862402627559694</v>
      </c>
      <c r="O8" s="80">
        <f>VLOOKUP('Hide - Control'!C$3,'All practice data'!A:CA,A8+29,FALSE)</f>
        <v>0.15010930292554353</v>
      </c>
      <c r="P8" s="38">
        <f>VLOOKUP('Hide - Control'!$B$4,'All practice data'!B:BC,A8+2,FALSE)</f>
        <v>33130.69</v>
      </c>
      <c r="Q8" s="38">
        <f>VLOOKUP('Hide - Control'!$B$4,'All practice data'!B:BC,3,FALSE)</f>
        <v>208863</v>
      </c>
      <c r="R8" s="38">
        <f>+((2*P8+1.96^2-1.96*SQRT(1.96^2+4*P8*(1-P8/Q8)))/(2*(Q8+1.96^2)))</f>
        <v>0.15706353830934985</v>
      </c>
      <c r="S8" s="38">
        <f>+((2*P8+1.96^2+1.96*SQRT(1.96^2+4*P8*(1-P8/Q8)))/(2*(Q8+1.96^2)))</f>
        <v>0.16019707181135207</v>
      </c>
      <c r="T8" s="53">
        <f aca="true" t="shared" si="16" ref="T8:T15">IF($C8=1,M8,I8)</f>
        <v>0.36000001430511475</v>
      </c>
      <c r="U8" s="51">
        <f t="shared" si="1"/>
        <v>0.07000000029802322</v>
      </c>
      <c r="V8" s="7"/>
      <c r="W8" s="27">
        <f t="shared" si="2"/>
        <v>-0.050000011920928955</v>
      </c>
      <c r="X8" s="27">
        <f t="shared" si="3"/>
        <v>0.36000001430511475</v>
      </c>
      <c r="Y8" s="27">
        <f t="shared" si="4"/>
        <v>-0.050000011920928955</v>
      </c>
      <c r="Z8" s="27">
        <f t="shared" si="5"/>
        <v>0.36000001430511475</v>
      </c>
      <c r="AA8" s="32">
        <f t="shared" si="6"/>
        <v>0.2926829379098455</v>
      </c>
      <c r="AB8" s="33">
        <f t="shared" si="7"/>
        <v>0.4146341423524556</v>
      </c>
      <c r="AC8" s="33">
        <v>0.5</v>
      </c>
      <c r="AD8" s="33">
        <f t="shared" si="8"/>
        <v>0.6280487592130967</v>
      </c>
      <c r="AE8" s="33">
        <f t="shared" si="9"/>
        <v>1</v>
      </c>
      <c r="AF8" s="33">
        <f t="shared" si="10"/>
        <v>-999</v>
      </c>
      <c r="AG8" s="33">
        <f t="shared" si="11"/>
        <v>-999</v>
      </c>
      <c r="AH8" s="33">
        <f t="shared" si="12"/>
        <v>0.48780487592130967</v>
      </c>
      <c r="AI8" s="34">
        <f t="shared" si="13"/>
        <v>0.4880714684055825</v>
      </c>
      <c r="AJ8" s="4">
        <v>3.778046717820832</v>
      </c>
      <c r="AK8" s="32">
        <f t="shared" si="14"/>
        <v>0.48780487592130967</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43</v>
      </c>
      <c r="E9" s="38">
        <f>IF(LEFT(VLOOKUP($B9,'Indicator chart'!$D$1:$J$36,5,FALSE),1)=" "," ",VLOOKUP($B9,'Indicator chart'!$D$1:$J$36,5,FALSE))</f>
        <v>537.7688844422211</v>
      </c>
      <c r="F9" s="38">
        <f>IF(LEFT(VLOOKUP($B9,'Indicator chart'!$D$1:$J$36,6,FALSE),1)=" "," ",VLOOKUP($B9,'Indicator chart'!$D$1:$J$36,6,FALSE))</f>
        <v>389.14432782199555</v>
      </c>
      <c r="G9" s="38">
        <f>IF(LEFT(VLOOKUP($B9,'Indicator chart'!$D$1:$J$36,7,FALSE),1)=" "," ",VLOOKUP($B9,'Indicator chart'!$D$1:$J$36,7,FALSE))</f>
        <v>724.3926773160817</v>
      </c>
      <c r="H9" s="50">
        <f t="shared" si="0"/>
        <v>2</v>
      </c>
      <c r="I9" s="38">
        <v>92.60600280761719</v>
      </c>
      <c r="J9" s="38">
        <v>395.80859375</v>
      </c>
      <c r="K9" s="38">
        <v>478.74993896484375</v>
      </c>
      <c r="L9" s="38">
        <v>583.5093994140625</v>
      </c>
      <c r="M9" s="38">
        <v>761.5230712890625</v>
      </c>
      <c r="N9" s="80">
        <f>VLOOKUP('Hide - Control'!B$3,'All practice data'!A:CA,A9+29,FALSE)</f>
        <v>495.06135600848404</v>
      </c>
      <c r="O9" s="80">
        <f>VLOOKUP('Hide - Control'!C$3,'All practice data'!A:CA,A9+29,FALSE)</f>
        <v>445.6198871279627</v>
      </c>
      <c r="P9" s="38">
        <f>VLOOKUP('Hide - Control'!$B$4,'All practice data'!B:BC,A9+2,FALSE)</f>
        <v>1034</v>
      </c>
      <c r="Q9" s="38">
        <f>VLOOKUP('Hide - Control'!$B$4,'All practice data'!B:BC,3,FALSE)</f>
        <v>208863</v>
      </c>
      <c r="R9" s="38">
        <f>100000*(P9*(1-1/(9*P9)-1.96/(3*SQRT(P9)))^3)/Q9</f>
        <v>465.34161827378506</v>
      </c>
      <c r="S9" s="38">
        <f>100000*((P9+1)*(1-1/(9*(P9+1))+1.96/(3*SQRT(P9+1)))^3)/Q9</f>
        <v>526.1813743418784</v>
      </c>
      <c r="T9" s="53">
        <f t="shared" si="16"/>
        <v>761.5230712890625</v>
      </c>
      <c r="U9" s="51">
        <f t="shared" si="1"/>
        <v>92.60600280761719</v>
      </c>
      <c r="V9" s="7"/>
      <c r="W9" s="27">
        <f t="shared" si="2"/>
        <v>92.60600280761719</v>
      </c>
      <c r="X9" s="27">
        <f t="shared" si="3"/>
        <v>864.8938751220703</v>
      </c>
      <c r="Y9" s="27">
        <f t="shared" si="4"/>
        <v>92.60600280761719</v>
      </c>
      <c r="Z9" s="27">
        <f t="shared" si="5"/>
        <v>864.8938751220703</v>
      </c>
      <c r="AA9" s="32">
        <f t="shared" si="6"/>
        <v>0</v>
      </c>
      <c r="AB9" s="33">
        <f t="shared" si="7"/>
        <v>0.392603071745412</v>
      </c>
      <c r="AC9" s="33">
        <v>0.5</v>
      </c>
      <c r="AD9" s="33">
        <f t="shared" si="8"/>
        <v>0.6356482008907732</v>
      </c>
      <c r="AE9" s="33">
        <f t="shared" si="9"/>
        <v>0.8661499066103187</v>
      </c>
      <c r="AF9" s="33">
        <f t="shared" si="10"/>
        <v>-999</v>
      </c>
      <c r="AG9" s="33">
        <f t="shared" si="11"/>
        <v>0.57642091452311</v>
      </c>
      <c r="AH9" s="33">
        <f t="shared" si="12"/>
        <v>-999</v>
      </c>
      <c r="AI9" s="34">
        <f t="shared" si="13"/>
        <v>0.45710142160125566</v>
      </c>
      <c r="AJ9" s="4">
        <v>4.854042143202755</v>
      </c>
      <c r="AK9" s="32">
        <f t="shared" si="14"/>
        <v>-999</v>
      </c>
      <c r="AL9" s="34">
        <f t="shared" si="15"/>
        <v>-999</v>
      </c>
      <c r="AQ9" s="103">
        <v>4</v>
      </c>
      <c r="AR9" s="103">
        <v>1.0899</v>
      </c>
      <c r="AS9" s="103">
        <v>10.2416</v>
      </c>
      <c r="AY9" s="103" t="s">
        <v>90</v>
      </c>
      <c r="AZ9" s="103" t="s">
        <v>373</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275.1375687843922</v>
      </c>
      <c r="F10" s="38">
        <f>IF(LEFT(VLOOKUP($B10,'Indicator chart'!$D$1:$J$36,6,FALSE),1)=" "," ",VLOOKUP($B10,'Indicator chart'!$D$1:$J$36,6,FALSE))</f>
        <v>172.3657960327758</v>
      </c>
      <c r="G10" s="38">
        <f>IF(LEFT(VLOOKUP($B10,'Indicator chart'!$D$1:$J$36,7,FALSE),1)=" "," ",VLOOKUP($B10,'Indicator chart'!$D$1:$J$36,7,FALSE))</f>
        <v>416.58329010352793</v>
      </c>
      <c r="H10" s="50">
        <f t="shared" si="0"/>
        <v>2</v>
      </c>
      <c r="I10" s="38">
        <v>44.173431396484375</v>
      </c>
      <c r="J10" s="38">
        <v>205.99327087402344</v>
      </c>
      <c r="K10" s="38">
        <v>243.9925079345703</v>
      </c>
      <c r="L10" s="38">
        <v>298.4180603027344</v>
      </c>
      <c r="M10" s="38">
        <v>528.7648315429688</v>
      </c>
      <c r="N10" s="80">
        <f>VLOOKUP('Hide - Control'!B$3,'All practice data'!A:CA,A10+29,FALSE)</f>
        <v>251.8397226890354</v>
      </c>
      <c r="O10" s="80">
        <f>VLOOKUP('Hide - Control'!C$3,'All practice data'!A:CA,A10+29,FALSE)</f>
        <v>234.12259778895606</v>
      </c>
      <c r="P10" s="38">
        <f>VLOOKUP('Hide - Control'!$B$4,'All practice data'!B:BC,A10+2,FALSE)</f>
        <v>526</v>
      </c>
      <c r="Q10" s="38">
        <f>VLOOKUP('Hide - Control'!$B$4,'All practice data'!B:BC,3,FALSE)</f>
        <v>208863</v>
      </c>
      <c r="R10" s="38">
        <f>100000*(P10*(1-1/(9*P10)-1.96/(3*SQRT(P10)))^3)/Q10</f>
        <v>230.7741617595711</v>
      </c>
      <c r="S10" s="38">
        <f>100000*((P10+1)*(1-1/(9*(P10+1))+1.96/(3*SQRT(P10+1)))^3)/Q10</f>
        <v>274.31133276113854</v>
      </c>
      <c r="T10" s="53">
        <f t="shared" si="16"/>
        <v>528.7648315429688</v>
      </c>
      <c r="U10" s="51">
        <f t="shared" si="1"/>
        <v>44.173431396484375</v>
      </c>
      <c r="V10" s="7"/>
      <c r="W10" s="27">
        <f t="shared" si="2"/>
        <v>-40.779815673828125</v>
      </c>
      <c r="X10" s="27">
        <f t="shared" si="3"/>
        <v>528.7648315429688</v>
      </c>
      <c r="Y10" s="27">
        <f t="shared" si="4"/>
        <v>-40.779815673828125</v>
      </c>
      <c r="Z10" s="27">
        <f t="shared" si="5"/>
        <v>528.7648315429688</v>
      </c>
      <c r="AA10" s="32">
        <f t="shared" si="6"/>
        <v>0.14915994292186735</v>
      </c>
      <c r="AB10" s="33">
        <f t="shared" si="7"/>
        <v>0.4332813726786155</v>
      </c>
      <c r="AC10" s="33">
        <v>0.5</v>
      </c>
      <c r="AD10" s="33">
        <f t="shared" si="8"/>
        <v>0.5955597645138556</v>
      </c>
      <c r="AE10" s="33">
        <f t="shared" si="9"/>
        <v>1</v>
      </c>
      <c r="AF10" s="33">
        <f t="shared" si="10"/>
        <v>-999</v>
      </c>
      <c r="AG10" s="33">
        <f t="shared" si="11"/>
        <v>0.5546841428534514</v>
      </c>
      <c r="AH10" s="33">
        <f t="shared" si="12"/>
        <v>-999</v>
      </c>
      <c r="AI10" s="34">
        <f t="shared" si="13"/>
        <v>0.48267052426206497</v>
      </c>
      <c r="AJ10" s="4">
        <v>5.930037568584676</v>
      </c>
      <c r="AK10" s="32">
        <f t="shared" si="14"/>
        <v>-999</v>
      </c>
      <c r="AL10" s="34">
        <f t="shared" si="15"/>
        <v>-999</v>
      </c>
      <c r="AY10" s="103" t="s">
        <v>96</v>
      </c>
      <c r="AZ10" s="103" t="s">
        <v>97</v>
      </c>
      <c r="BA10" s="103" t="s">
        <v>490</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79</v>
      </c>
      <c r="E11" s="38">
        <f>IF(LEFT(VLOOKUP($B11,'Indicator chart'!$D$1:$J$36,5,FALSE),1)=" "," ",VLOOKUP($B11,'Indicator chart'!$D$1:$J$36,5,FALSE))</f>
        <v>0.01</v>
      </c>
      <c r="F11" s="38">
        <f>IF(LEFT(VLOOKUP($B11,'Indicator chart'!$D$1:$J$36,6,FALSE),1)=" "," ",VLOOKUP($B11,'Indicator chart'!$D$1:$J$36,6,FALSE))</f>
        <v>0.007935171663564389</v>
      </c>
      <c r="G11" s="38">
        <f>IF(LEFT(VLOOKUP($B11,'Indicator chart'!$D$1:$J$36,7,FALSE),1)=" "," ",VLOOKUP($B11,'Indicator chart'!$D$1:$J$36,7,FALSE))</f>
        <v>0.012295428902326816</v>
      </c>
      <c r="H11" s="50">
        <f t="shared" si="0"/>
        <v>1</v>
      </c>
      <c r="I11" s="38">
        <v>0.004999999888241291</v>
      </c>
      <c r="J11" s="38">
        <v>0.010250000283122063</v>
      </c>
      <c r="K11" s="38">
        <v>0.01600000075995922</v>
      </c>
      <c r="L11" s="38">
        <v>0.019999999552965164</v>
      </c>
      <c r="M11" s="38">
        <v>0.02500000037252903</v>
      </c>
      <c r="N11" s="80">
        <f>VLOOKUP('Hide - Control'!B$3,'All practice data'!A:CA,A11+29,FALSE)</f>
        <v>0.016508428970186197</v>
      </c>
      <c r="O11" s="80">
        <f>VLOOKUP('Hide - Control'!C$3,'All practice data'!A:CA,A11+29,FALSE)</f>
        <v>0.015940726342527432</v>
      </c>
      <c r="P11" s="38">
        <f>VLOOKUP('Hide - Control'!$B$4,'All practice data'!B:BC,A11+2,FALSE)</f>
        <v>3448</v>
      </c>
      <c r="Q11" s="38">
        <f>VLOOKUP('Hide - Control'!$B$4,'All practice data'!B:BC,3,FALSE)</f>
        <v>208863</v>
      </c>
      <c r="R11" s="80">
        <f aca="true" t="shared" si="17" ref="R11:R16">+((2*P11+1.96^2-1.96*SQRT(1.96^2+4*P11*(1-P11/Q11)))/(2*(Q11+1.96^2)))</f>
        <v>0.01597078784490424</v>
      </c>
      <c r="S11" s="80">
        <f aca="true" t="shared" si="18" ref="S11:S16">+((2*P11+1.96^2+1.96*SQRT(1.96^2+4*P11*(1-P11/Q11)))/(2*(Q11+1.96^2)))</f>
        <v>0.017063855409834378</v>
      </c>
      <c r="T11" s="53">
        <f t="shared" si="16"/>
        <v>0.02500000037252903</v>
      </c>
      <c r="U11" s="51">
        <f t="shared" si="1"/>
        <v>0.004999999888241291</v>
      </c>
      <c r="V11" s="7"/>
      <c r="W11" s="27">
        <f t="shared" si="2"/>
        <v>0.004999999888241291</v>
      </c>
      <c r="X11" s="27">
        <f t="shared" si="3"/>
        <v>0.02700000163167715</v>
      </c>
      <c r="Y11" s="27">
        <f t="shared" si="4"/>
        <v>0.004999999888241291</v>
      </c>
      <c r="Z11" s="27">
        <f t="shared" si="5"/>
        <v>0.02700000163167715</v>
      </c>
      <c r="AA11" s="32">
        <f t="shared" si="6"/>
        <v>0</v>
      </c>
      <c r="AB11" s="33">
        <f t="shared" si="7"/>
        <v>0.23863636267425362</v>
      </c>
      <c r="AC11" s="33">
        <v>0.5</v>
      </c>
      <c r="AD11" s="33">
        <f t="shared" si="8"/>
        <v>0.6818181125462602</v>
      </c>
      <c r="AE11" s="33">
        <f t="shared" si="9"/>
        <v>0.909090859061188</v>
      </c>
      <c r="AF11" s="33">
        <f t="shared" si="10"/>
        <v>-999</v>
      </c>
      <c r="AG11" s="33">
        <f t="shared" si="11"/>
        <v>-999</v>
      </c>
      <c r="AH11" s="33">
        <f t="shared" si="12"/>
        <v>0.2272727143419686</v>
      </c>
      <c r="AI11" s="34">
        <f t="shared" si="13"/>
        <v>0.4973057085120698</v>
      </c>
      <c r="AJ11" s="4">
        <v>7.0060329939666</v>
      </c>
      <c r="AK11" s="32">
        <f t="shared" si="14"/>
        <v>0.2272727143419686</v>
      </c>
      <c r="AL11" s="34">
        <f t="shared" si="15"/>
        <v>-999</v>
      </c>
      <c r="AY11" s="103" t="s">
        <v>214</v>
      </c>
      <c r="AZ11" s="103" t="s">
        <v>215</v>
      </c>
      <c r="BA11" s="103" t="s">
        <v>490</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727</v>
      </c>
      <c r="E12" s="38">
        <f>IF(LEFT(VLOOKUP($B12,'Indicator chart'!$D$1:$J$36,5,FALSE),1)=" "," ",VLOOKUP($B12,'Indicator chart'!$D$1:$J$36,5,FALSE))</f>
        <v>0.742594</v>
      </c>
      <c r="F12" s="38">
        <f>IF(LEFT(VLOOKUP($B12,'Indicator chart'!$D$1:$J$36,6,FALSE),1)=" "," ",VLOOKUP($B12,'Indicator chart'!$D$1:$J$36,6,FALSE))</f>
        <v>0.7142960791017036</v>
      </c>
      <c r="G12" s="38">
        <f>IF(LEFT(VLOOKUP($B12,'Indicator chart'!$D$1:$J$36,7,FALSE),1)=" "," ",VLOOKUP($B12,'Indicator chart'!$D$1:$J$36,7,FALSE))</f>
        <v>0.7689964473847618</v>
      </c>
      <c r="H12" s="50">
        <f t="shared" si="0"/>
        <v>2</v>
      </c>
      <c r="I12" s="38">
        <v>0.453125</v>
      </c>
      <c r="J12" s="38">
        <v>0.6587889790534973</v>
      </c>
      <c r="K12" s="38">
        <v>0.734503984451294</v>
      </c>
      <c r="L12" s="38">
        <v>0.7574999928474426</v>
      </c>
      <c r="M12" s="38">
        <v>0.8448280096054077</v>
      </c>
      <c r="N12" s="80">
        <f>VLOOKUP('Hide - Control'!B$3,'All practice data'!A:CA,A12+29,FALSE)</f>
        <v>0.724393981063136</v>
      </c>
      <c r="O12" s="80">
        <f>VLOOKUP('Hide - Control'!C$3,'All practice data'!A:CA,A12+29,FALSE)</f>
        <v>0.7248631360507991</v>
      </c>
      <c r="P12" s="38">
        <f>VLOOKUP('Hide - Control'!$B$4,'All practice data'!B:BC,A12+2,FALSE)</f>
        <v>18438</v>
      </c>
      <c r="Q12" s="38">
        <f>VLOOKUP('Hide - Control'!$B$4,'All practice data'!B:BJ,57,FALSE)</f>
        <v>25453</v>
      </c>
      <c r="R12" s="38">
        <f t="shared" si="17"/>
        <v>0.7188711108637561</v>
      </c>
      <c r="S12" s="38">
        <f t="shared" si="18"/>
        <v>0.729849126292451</v>
      </c>
      <c r="T12" s="53">
        <f t="shared" si="16"/>
        <v>0.8448280096054077</v>
      </c>
      <c r="U12" s="51">
        <f t="shared" si="1"/>
        <v>0.453125</v>
      </c>
      <c r="V12" s="7"/>
      <c r="W12" s="27">
        <f t="shared" si="2"/>
        <v>0.453125</v>
      </c>
      <c r="X12" s="27">
        <f t="shared" si="3"/>
        <v>1.015882968902588</v>
      </c>
      <c r="Y12" s="27">
        <f t="shared" si="4"/>
        <v>0.453125</v>
      </c>
      <c r="Z12" s="27">
        <f t="shared" si="5"/>
        <v>1.015882968902588</v>
      </c>
      <c r="AA12" s="32">
        <f t="shared" si="6"/>
        <v>0</v>
      </c>
      <c r="AB12" s="33">
        <f t="shared" si="7"/>
        <v>0.365457248796591</v>
      </c>
      <c r="AC12" s="33">
        <v>0.5</v>
      </c>
      <c r="AD12" s="33">
        <f t="shared" si="8"/>
        <v>0.5408630524432951</v>
      </c>
      <c r="AE12" s="33">
        <f t="shared" si="9"/>
        <v>0.6960416933220018</v>
      </c>
      <c r="AF12" s="33">
        <f t="shared" si="10"/>
        <v>-999</v>
      </c>
      <c r="AG12" s="33">
        <f t="shared" si="11"/>
        <v>0.5143756570244257</v>
      </c>
      <c r="AH12" s="33">
        <f t="shared" si="12"/>
        <v>-999</v>
      </c>
      <c r="AI12" s="34">
        <f t="shared" si="13"/>
        <v>0.48286857062318445</v>
      </c>
      <c r="AJ12" s="4">
        <v>8.082028419348523</v>
      </c>
      <c r="AK12" s="32">
        <f t="shared" si="14"/>
        <v>-999</v>
      </c>
      <c r="AL12" s="34">
        <f t="shared" si="15"/>
        <v>-999</v>
      </c>
      <c r="AY12" s="103" t="s">
        <v>261</v>
      </c>
      <c r="AZ12" s="103" t="s">
        <v>426</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9</v>
      </c>
      <c r="E13" s="38">
        <f>IF(LEFT(VLOOKUP($B13,'Indicator chart'!$D$1:$J$36,5,FALSE),1)=" "," ",VLOOKUP($B13,'Indicator chart'!$D$1:$J$36,5,FALSE))</f>
        <v>0.391304</v>
      </c>
      <c r="F13" s="38">
        <f>IF(LEFT(VLOOKUP($B13,'Indicator chart'!$D$1:$J$36,6,FALSE),1)=" "," ",VLOOKUP($B13,'Indicator chart'!$D$1:$J$36,6,FALSE))</f>
        <v>0.22157377982382137</v>
      </c>
      <c r="G13" s="38">
        <f>IF(LEFT(VLOOKUP($B13,'Indicator chart'!$D$1:$J$36,7,FALSE),1)=" "," ",VLOOKUP($B13,'Indicator chart'!$D$1:$J$36,7,FALSE))</f>
        <v>0.5921482039625401</v>
      </c>
      <c r="H13" s="50">
        <f t="shared" si="0"/>
        <v>1</v>
      </c>
      <c r="I13" s="38">
        <v>0.2608700096607208</v>
      </c>
      <c r="J13" s="38">
        <v>0.5199999809265137</v>
      </c>
      <c r="K13" s="38">
        <v>0.6912930011749268</v>
      </c>
      <c r="L13" s="38">
        <v>0.7579249739646912</v>
      </c>
      <c r="M13" s="38">
        <v>0.8218920230865479</v>
      </c>
      <c r="N13" s="80">
        <f>VLOOKUP('Hide - Control'!B$3,'All practice data'!A:CA,A13+29,FALSE)</f>
        <v>0.7541596227422368</v>
      </c>
      <c r="O13" s="80">
        <f>VLOOKUP('Hide - Control'!C$3,'All practice data'!A:CA,A13+29,FALSE)</f>
        <v>0.7467412166569077</v>
      </c>
      <c r="P13" s="38">
        <f>VLOOKUP('Hide - Control'!$B$4,'All practice data'!B:BC,A13+2,FALSE)</f>
        <v>8476</v>
      </c>
      <c r="Q13" s="38">
        <f>VLOOKUP('Hide - Control'!$B$4,'All practice data'!B:BJ,58,FALSE)</f>
        <v>11239</v>
      </c>
      <c r="R13" s="38">
        <f t="shared" si="17"/>
        <v>0.7461129788259294</v>
      </c>
      <c r="S13" s="38">
        <f t="shared" si="18"/>
        <v>0.7620325775430227</v>
      </c>
      <c r="T13" s="53">
        <f t="shared" si="16"/>
        <v>0.8218920230865479</v>
      </c>
      <c r="U13" s="51">
        <f t="shared" si="1"/>
        <v>0.2608700096607208</v>
      </c>
      <c r="V13" s="7"/>
      <c r="W13" s="27">
        <f t="shared" si="2"/>
        <v>0.2608700096607208</v>
      </c>
      <c r="X13" s="27">
        <f t="shared" si="3"/>
        <v>1.1217159926891327</v>
      </c>
      <c r="Y13" s="27">
        <f t="shared" si="4"/>
        <v>0.2608700096607208</v>
      </c>
      <c r="Z13" s="27">
        <f t="shared" si="5"/>
        <v>1.1217159926891327</v>
      </c>
      <c r="AA13" s="32">
        <f t="shared" si="6"/>
        <v>0</v>
      </c>
      <c r="AB13" s="33">
        <f t="shared" si="7"/>
        <v>0.30101780849831805</v>
      </c>
      <c r="AC13" s="33">
        <v>0.5</v>
      </c>
      <c r="AD13" s="33">
        <f t="shared" si="8"/>
        <v>0.577402896805485</v>
      </c>
      <c r="AE13" s="33">
        <f t="shared" si="9"/>
        <v>0.6517100904068582</v>
      </c>
      <c r="AF13" s="33">
        <f t="shared" si="10"/>
        <v>-999</v>
      </c>
      <c r="AG13" s="33">
        <f t="shared" si="11"/>
        <v>-999</v>
      </c>
      <c r="AH13" s="33">
        <f t="shared" si="12"/>
        <v>0.1515183818136888</v>
      </c>
      <c r="AI13" s="34">
        <f t="shared" si="13"/>
        <v>0.5644113076846999</v>
      </c>
      <c r="AJ13" s="4">
        <v>9.158023844730446</v>
      </c>
      <c r="AK13" s="32">
        <f t="shared" si="14"/>
        <v>0.1515183818136888</v>
      </c>
      <c r="AL13" s="34">
        <f t="shared" si="15"/>
        <v>-999</v>
      </c>
      <c r="AY13" s="103" t="s">
        <v>260</v>
      </c>
      <c r="AZ13" s="103" t="s">
        <v>425</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1607</v>
      </c>
      <c r="E14" s="38">
        <f>IF(LEFT(VLOOKUP($B14,'Indicator chart'!$D$1:$J$36,5,FALSE),1)=" "," ",VLOOKUP($B14,'Indicator chart'!$D$1:$J$36,5,FALSE))</f>
        <v>0.805918</v>
      </c>
      <c r="F14" s="38">
        <f>IF(LEFT(VLOOKUP($B14,'Indicator chart'!$D$1:$J$36,6,FALSE),1)=" "," ",VLOOKUP($B14,'Indicator chart'!$D$1:$J$36,6,FALSE))</f>
        <v>0.7879769539946265</v>
      </c>
      <c r="G14" s="38">
        <f>IF(LEFT(VLOOKUP($B14,'Indicator chart'!$D$1:$J$36,7,FALSE),1)=" "," ",VLOOKUP($B14,'Indicator chart'!$D$1:$J$36,7,FALSE))</f>
        <v>0.8226820692232303</v>
      </c>
      <c r="H14" s="50">
        <f t="shared" si="0"/>
        <v>2</v>
      </c>
      <c r="I14" s="38">
        <v>0.6320750117301941</v>
      </c>
      <c r="J14" s="38">
        <v>0.771390974521637</v>
      </c>
      <c r="K14" s="38">
        <v>0.8061320185661316</v>
      </c>
      <c r="L14" s="38">
        <v>0.8265665173530579</v>
      </c>
      <c r="M14" s="38">
        <v>0.8771650195121765</v>
      </c>
      <c r="N14" s="80">
        <f>VLOOKUP('Hide - Control'!B$3,'All practice data'!A:CA,A14+29,FALSE)</f>
        <v>0.7985261807081332</v>
      </c>
      <c r="O14" s="80">
        <f>VLOOKUP('Hide - Control'!C$3,'All practice data'!A:CA,A14+29,FALSE)</f>
        <v>0.7559681673907895</v>
      </c>
      <c r="P14" s="38">
        <f>VLOOKUP('Hide - Control'!$B$4,'All practice data'!B:BC,A14+2,FALSE)</f>
        <v>41069</v>
      </c>
      <c r="Q14" s="38">
        <f>VLOOKUP('Hide - Control'!$B$4,'All practice data'!B:BJ,59,FALSE)</f>
        <v>51431</v>
      </c>
      <c r="R14" s="38">
        <f t="shared" si="17"/>
        <v>0.7950373918733598</v>
      </c>
      <c r="S14" s="38">
        <f t="shared" si="18"/>
        <v>0.8019703764950764</v>
      </c>
      <c r="T14" s="53">
        <f t="shared" si="16"/>
        <v>0.8771650195121765</v>
      </c>
      <c r="U14" s="51">
        <f t="shared" si="1"/>
        <v>0.6320750117301941</v>
      </c>
      <c r="V14" s="7"/>
      <c r="W14" s="27">
        <f t="shared" si="2"/>
        <v>0.6320750117301941</v>
      </c>
      <c r="X14" s="27">
        <f t="shared" si="3"/>
        <v>0.9801890254020691</v>
      </c>
      <c r="Y14" s="27">
        <f t="shared" si="4"/>
        <v>0.6320750117301941</v>
      </c>
      <c r="Z14" s="27">
        <f t="shared" si="5"/>
        <v>0.9801890254020691</v>
      </c>
      <c r="AA14" s="32">
        <f t="shared" si="6"/>
        <v>0</v>
      </c>
      <c r="AB14" s="33">
        <f t="shared" si="7"/>
        <v>0.4002021099982467</v>
      </c>
      <c r="AC14" s="33">
        <v>0.5</v>
      </c>
      <c r="AD14" s="33">
        <f t="shared" si="8"/>
        <v>0.558700592289822</v>
      </c>
      <c r="AE14" s="33">
        <f t="shared" si="9"/>
        <v>0.704050966511791</v>
      </c>
      <c r="AF14" s="33">
        <f t="shared" si="10"/>
        <v>-999</v>
      </c>
      <c r="AG14" s="33">
        <f t="shared" si="11"/>
        <v>0.4993852055426493</v>
      </c>
      <c r="AH14" s="33">
        <f t="shared" si="12"/>
        <v>-999</v>
      </c>
      <c r="AI14" s="34">
        <f t="shared" si="13"/>
        <v>0.3558982137885852</v>
      </c>
      <c r="AJ14" s="4">
        <v>10.234019270112368</v>
      </c>
      <c r="AK14" s="32">
        <f t="shared" si="14"/>
        <v>-999</v>
      </c>
      <c r="AL14" s="34">
        <f t="shared" si="15"/>
        <v>-999</v>
      </c>
      <c r="AY14" s="103" t="s">
        <v>53</v>
      </c>
      <c r="AZ14" s="103" t="s">
        <v>433</v>
      </c>
      <c r="BA14" s="103" t="s">
        <v>490</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466</v>
      </c>
      <c r="E15" s="38">
        <f>IF(LEFT(VLOOKUP($B15,'Indicator chart'!$D$1:$J$36,5,FALSE),1)=" "," ",VLOOKUP($B15,'Indicator chart'!$D$1:$J$36,5,FALSE))</f>
        <v>0.550827</v>
      </c>
      <c r="F15" s="38">
        <f>IF(LEFT(VLOOKUP($B15,'Indicator chart'!$D$1:$J$36,6,FALSE),1)=" "," ",VLOOKUP($B15,'Indicator chart'!$D$1:$J$36,6,FALSE))</f>
        <v>0.5171541643825478</v>
      </c>
      <c r="G15" s="38">
        <f>IF(LEFT(VLOOKUP($B15,'Indicator chart'!$D$1:$J$36,7,FALSE),1)=" "," ",VLOOKUP($B15,'Indicator chart'!$D$1:$J$36,7,FALSE))</f>
        <v>0.584041164252812</v>
      </c>
      <c r="H15" s="50">
        <f t="shared" si="0"/>
        <v>2</v>
      </c>
      <c r="I15" s="38">
        <v>0.28787899017333984</v>
      </c>
      <c r="J15" s="38">
        <v>0.49907949566841125</v>
      </c>
      <c r="K15" s="38">
        <v>0.5403894782066345</v>
      </c>
      <c r="L15" s="38">
        <v>0.579557478427887</v>
      </c>
      <c r="M15" s="38">
        <v>0.6507539749145508</v>
      </c>
      <c r="N15" s="80">
        <f>VLOOKUP('Hide - Control'!B$3,'All practice data'!A:CA,A15+29,FALSE)</f>
        <v>0.5557302585604472</v>
      </c>
      <c r="O15" s="80">
        <f>VLOOKUP('Hide - Control'!C$3,'All practice data'!A:CA,A15+29,FALSE)</f>
        <v>0.5147293797466616</v>
      </c>
      <c r="P15" s="38">
        <f>VLOOKUP('Hide - Control'!$B$4,'All practice data'!B:BC,A15+2,FALSE)</f>
        <v>12724</v>
      </c>
      <c r="Q15" s="38">
        <f>VLOOKUP('Hide - Control'!$B$4,'All practice data'!B:BJ,60,FALSE)</f>
        <v>22896</v>
      </c>
      <c r="R15" s="38">
        <f t="shared" si="17"/>
        <v>0.5492852110894333</v>
      </c>
      <c r="S15" s="38">
        <f t="shared" si="18"/>
        <v>0.562156607791969</v>
      </c>
      <c r="T15" s="53">
        <f t="shared" si="16"/>
        <v>0.6507539749145508</v>
      </c>
      <c r="U15" s="51">
        <f t="shared" si="1"/>
        <v>0.28787899017333984</v>
      </c>
      <c r="V15" s="7"/>
      <c r="W15" s="27">
        <f t="shared" si="2"/>
        <v>0.28787899017333984</v>
      </c>
      <c r="X15" s="27">
        <f t="shared" si="3"/>
        <v>0.7928999662399292</v>
      </c>
      <c r="Y15" s="27">
        <f t="shared" si="4"/>
        <v>0.28787899017333984</v>
      </c>
      <c r="Z15" s="27">
        <f t="shared" si="5"/>
        <v>0.7928999662399292</v>
      </c>
      <c r="AA15" s="32">
        <f t="shared" si="6"/>
        <v>0</v>
      </c>
      <c r="AB15" s="33">
        <f t="shared" si="7"/>
        <v>0.4182014520268632</v>
      </c>
      <c r="AC15" s="33">
        <v>0.5</v>
      </c>
      <c r="AD15" s="33">
        <f t="shared" si="8"/>
        <v>0.5775571750035349</v>
      </c>
      <c r="AE15" s="33">
        <f t="shared" si="9"/>
        <v>0.7185344806219776</v>
      </c>
      <c r="AF15" s="33">
        <f t="shared" si="10"/>
        <v>-999</v>
      </c>
      <c r="AG15" s="33">
        <f t="shared" si="11"/>
        <v>0.5206675015256974</v>
      </c>
      <c r="AH15" s="33">
        <f t="shared" si="12"/>
        <v>-999</v>
      </c>
      <c r="AI15" s="34">
        <f t="shared" si="13"/>
        <v>0.44919003432326826</v>
      </c>
      <c r="AJ15" s="4">
        <v>11.310014695494289</v>
      </c>
      <c r="AK15" s="32">
        <f t="shared" si="14"/>
        <v>-999</v>
      </c>
      <c r="AL15" s="34">
        <f t="shared" si="15"/>
        <v>-999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252</v>
      </c>
      <c r="E16" s="38">
        <f>IF(LEFT(VLOOKUP($B16,'Indicator chart'!$D$1:$J$36,5,FALSE),1)=" "," ",VLOOKUP($B16,'Indicator chart'!$D$1:$J$36,5,FALSE))</f>
        <v>0.577982</v>
      </c>
      <c r="F16" s="38">
        <f>IF(LEFT(VLOOKUP($B16,'Indicator chart'!$D$1:$J$36,6,FALSE),1)=" "," ",VLOOKUP($B16,'Indicator chart'!$D$1:$J$36,6,FALSE))</f>
        <v>0.5311392703317704</v>
      </c>
      <c r="G16" s="38">
        <f>IF(LEFT(VLOOKUP($B16,'Indicator chart'!$D$1:$J$36,7,FALSE),1)=" "," ",VLOOKUP($B16,'Indicator chart'!$D$1:$J$36,7,FALSE))</f>
        <v>0.6234618406136245</v>
      </c>
      <c r="H16" s="50">
        <f t="shared" si="0"/>
        <v>2</v>
      </c>
      <c r="I16" s="38">
        <v>0.21212099492549896</v>
      </c>
      <c r="J16" s="38">
        <v>0.49559301137924194</v>
      </c>
      <c r="K16" s="38">
        <v>0.5543965101242065</v>
      </c>
      <c r="L16" s="38">
        <v>0.5965582728385925</v>
      </c>
      <c r="M16" s="38">
        <v>0.6760799884796143</v>
      </c>
      <c r="N16" s="80">
        <f>VLOOKUP('Hide - Control'!B$3,'All practice data'!A:CA,A16+29,FALSE)</f>
        <v>0.5690444145356662</v>
      </c>
      <c r="O16" s="80">
        <f>VLOOKUP('Hide - Control'!C$3,'All practice data'!A:CA,A16+29,FALSE)</f>
        <v>0.5752927626212945</v>
      </c>
      <c r="P16" s="38">
        <f>VLOOKUP('Hide - Control'!$B$4,'All practice data'!B:BC,A16+2,FALSE)</f>
        <v>6342</v>
      </c>
      <c r="Q16" s="38">
        <f>VLOOKUP('Hide - Control'!$B$4,'All practice data'!B:BJ,61,FALSE)</f>
        <v>11145</v>
      </c>
      <c r="R16" s="38">
        <f t="shared" si="17"/>
        <v>0.5598281584696002</v>
      </c>
      <c r="S16" s="38">
        <f t="shared" si="18"/>
        <v>0.5782130887932544</v>
      </c>
      <c r="T16" s="53">
        <f aca="true" t="shared" si="19" ref="T16:T31">IF($C16=1,M16,I16)</f>
        <v>0.6760799884796143</v>
      </c>
      <c r="U16" s="51">
        <f aca="true" t="shared" si="20" ref="U16:U31">IF($C16=1,I16,M16)</f>
        <v>0.21212099492549896</v>
      </c>
      <c r="V16" s="7"/>
      <c r="W16" s="27">
        <f t="shared" si="2"/>
        <v>0.21212099492549896</v>
      </c>
      <c r="X16" s="27">
        <f t="shared" si="3"/>
        <v>0.8966720253229141</v>
      </c>
      <c r="Y16" s="27">
        <f t="shared" si="4"/>
        <v>0.21212099492549896</v>
      </c>
      <c r="Z16" s="27">
        <f t="shared" si="5"/>
        <v>0.8966720253229141</v>
      </c>
      <c r="AA16" s="32">
        <f t="shared" si="6"/>
        <v>0</v>
      </c>
      <c r="AB16" s="33">
        <f t="shared" si="7"/>
        <v>0.41409917429994036</v>
      </c>
      <c r="AC16" s="33">
        <v>0.5</v>
      </c>
      <c r="AD16" s="33">
        <f t="shared" si="8"/>
        <v>0.561590386753065</v>
      </c>
      <c r="AE16" s="33">
        <f t="shared" si="9"/>
        <v>0.6777566214234818</v>
      </c>
      <c r="AF16" s="33">
        <f t="shared" si="10"/>
        <v>-999</v>
      </c>
      <c r="AG16" s="33">
        <f t="shared" si="11"/>
        <v>0.5344539542393223</v>
      </c>
      <c r="AH16" s="33">
        <f t="shared" si="12"/>
        <v>-999</v>
      </c>
      <c r="AI16" s="34">
        <f t="shared" si="13"/>
        <v>0.5305254854191902</v>
      </c>
      <c r="AJ16" s="4">
        <v>12.386010120876215</v>
      </c>
      <c r="AK16" s="32">
        <f t="shared" si="14"/>
        <v>-999</v>
      </c>
      <c r="AL16" s="34">
        <f t="shared" si="15"/>
        <v>-999</v>
      </c>
      <c r="AY16" s="103" t="s">
        <v>308</v>
      </c>
      <c r="AZ16" s="103" t="s">
        <v>328</v>
      </c>
      <c r="BA16" s="103" t="s">
        <v>490</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96</v>
      </c>
      <c r="E17" s="38">
        <f>IF(LEFT(VLOOKUP($B17,'Indicator chart'!$D$1:$J$36,5,FALSE),1)=" "," ",VLOOKUP($B17,'Indicator chart'!$D$1:$J$36,5,FALSE))</f>
        <v>1200.600300150075</v>
      </c>
      <c r="F17" s="38">
        <f>IF(LEFT(VLOOKUP($B17,'Indicator chart'!$D$1:$J$36,6,FALSE),1)=" "," ",VLOOKUP($B17,'Indicator chart'!$D$1:$J$36,6,FALSE))</f>
        <v>972.4621026085924</v>
      </c>
      <c r="G17" s="38">
        <f>IF(LEFT(VLOOKUP($B17,'Indicator chart'!$D$1:$J$36,7,FALSE),1)=" "," ",VLOOKUP($B17,'Indicator chart'!$D$1:$J$36,7,FALSE))</f>
        <v>1466.1579870607538</v>
      </c>
      <c r="H17" s="50">
        <f t="shared" si="0"/>
        <v>2</v>
      </c>
      <c r="I17" s="38">
        <v>360.63885498046875</v>
      </c>
      <c r="J17" s="38">
        <v>775.2099609375</v>
      </c>
      <c r="K17" s="38">
        <v>1138.0108642578125</v>
      </c>
      <c r="L17" s="38">
        <v>1449.27001953125</v>
      </c>
      <c r="M17" s="38">
        <v>1861.2520751953125</v>
      </c>
      <c r="N17" s="80">
        <f>VLOOKUP('Hide - Control'!B$3,'All practice data'!A:CA,A17+29,FALSE)</f>
        <v>1229.992866137133</v>
      </c>
      <c r="O17" s="80">
        <f>VLOOKUP('Hide - Control'!C$3,'All practice data'!A:CA,A17+29,FALSE)</f>
        <v>1812.1669120472948</v>
      </c>
      <c r="P17" s="38">
        <f>VLOOKUP('Hide - Control'!$B$4,'All practice data'!B:BC,A17+2,FALSE)</f>
        <v>2569</v>
      </c>
      <c r="Q17" s="38">
        <f>VLOOKUP('Hide - Control'!$B$4,'All practice data'!B:BC,3,FALSE)</f>
        <v>208863</v>
      </c>
      <c r="R17" s="38">
        <f>100000*(P17*(1-1/(9*P17)-1.96/(3*SQRT(P17)))^3)/Q17</f>
        <v>1182.8840221188198</v>
      </c>
      <c r="S17" s="38">
        <f>100000*((P17+1)*(1-1/(9*(P17+1))+1.96/(3*SQRT(P17+1)))^3)/Q17</f>
        <v>1278.496716353153</v>
      </c>
      <c r="T17" s="53">
        <f t="shared" si="19"/>
        <v>1861.2520751953125</v>
      </c>
      <c r="U17" s="51">
        <f t="shared" si="20"/>
        <v>360.63885498046875</v>
      </c>
      <c r="V17" s="7"/>
      <c r="W17" s="27">
        <f t="shared" si="2"/>
        <v>360.63885498046875</v>
      </c>
      <c r="X17" s="27">
        <f t="shared" si="3"/>
        <v>1915.3828735351562</v>
      </c>
      <c r="Y17" s="27">
        <f t="shared" si="4"/>
        <v>360.63885498046875</v>
      </c>
      <c r="Z17" s="27">
        <f t="shared" si="5"/>
        <v>1915.3828735351562</v>
      </c>
      <c r="AA17" s="32">
        <f t="shared" si="6"/>
        <v>0</v>
      </c>
      <c r="AB17" s="33">
        <f t="shared" si="7"/>
        <v>0.26664910815506626</v>
      </c>
      <c r="AC17" s="33">
        <v>0.5</v>
      </c>
      <c r="AD17" s="33">
        <f t="shared" si="8"/>
        <v>0.7001996158588142</v>
      </c>
      <c r="AE17" s="33">
        <f t="shared" si="9"/>
        <v>0.9651834657706775</v>
      </c>
      <c r="AF17" s="33">
        <f t="shared" si="10"/>
        <v>-999</v>
      </c>
      <c r="AG17" s="33">
        <f t="shared" si="11"/>
        <v>0.540257068138102</v>
      </c>
      <c r="AH17" s="33">
        <f t="shared" si="12"/>
        <v>-999</v>
      </c>
      <c r="AI17" s="34">
        <f t="shared" si="13"/>
        <v>0.9336122472535302</v>
      </c>
      <c r="AJ17" s="4">
        <v>13.462005546258133</v>
      </c>
      <c r="AK17" s="32">
        <f t="shared" si="14"/>
        <v>-999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96</v>
      </c>
      <c r="E18" s="80">
        <f>IF(LEFT(VLOOKUP($B18,'Indicator chart'!$D$1:$J$36,5,FALSE),1)=" "," ",VLOOKUP($B18,'Indicator chart'!$D$1:$J$36,5,FALSE))</f>
        <v>0.6568659973</v>
      </c>
      <c r="F18" s="81">
        <f>IF(LEFT(VLOOKUP($B18,'Indicator chart'!$D$1:$J$36,6,FALSE),1)=" "," ",VLOOKUP($B18,'Indicator chart'!$D$1:$J$36,6,FALSE))</f>
        <v>0.5320635986</v>
      </c>
      <c r="G18" s="38">
        <f>IF(LEFT(VLOOKUP($B18,'Indicator chart'!$D$1:$J$36,7,FALSE),1)=" "," ",VLOOKUP($B18,'Indicator chart'!$D$1:$J$36,7,FALSE))</f>
        <v>0.8021458435</v>
      </c>
      <c r="H18" s="50">
        <f>IF(LEFT(F18,1)=" ",4,IF(AND(ABS(N18-E18)&gt;SQRT((E18-G18)^2+(N18-R18)^2),E18&lt;N18),1,IF(AND(ABS(N18-E18)&gt;SQRT((E18-F18)^2+(N18-S18)^2),E18&gt;N18),3,2)))</f>
        <v>1</v>
      </c>
      <c r="I18" s="38">
        <v>0.2375285029411316</v>
      </c>
      <c r="J18" s="38"/>
      <c r="K18" s="38">
        <v>1</v>
      </c>
      <c r="L18" s="38"/>
      <c r="M18" s="38">
        <v>0.9735884666442871</v>
      </c>
      <c r="N18" s="80">
        <v>1</v>
      </c>
      <c r="O18" s="80">
        <f>VLOOKUP('Hide - Control'!C$3,'All practice data'!A:CA,A18+29,FALSE)</f>
        <v>1</v>
      </c>
      <c r="P18" s="38">
        <f>VLOOKUP('Hide - Control'!$B$4,'All practice data'!B:BC,A18+2,FALSE)</f>
        <v>2569</v>
      </c>
      <c r="Q18" s="38">
        <f>VLOOKUP('Hide - Control'!$B$4,'All practice data'!B:BC,14,FALSE)</f>
        <v>2569</v>
      </c>
      <c r="R18" s="81">
        <v>1</v>
      </c>
      <c r="S18" s="38">
        <v>1</v>
      </c>
      <c r="T18" s="53">
        <f t="shared" si="19"/>
        <v>0.9735884666442871</v>
      </c>
      <c r="U18" s="51">
        <f t="shared" si="20"/>
        <v>0.2375285029411316</v>
      </c>
      <c r="V18" s="7"/>
      <c r="W18" s="27">
        <f>IF((K18-I18)&gt;(M18-K18),I18,(K18-(M18-K18)))</f>
        <v>0.2375285029411316</v>
      </c>
      <c r="X18" s="27">
        <f t="shared" si="3"/>
        <v>1.7624714970588684</v>
      </c>
      <c r="Y18" s="27">
        <f t="shared" si="4"/>
        <v>0.2375285029411316</v>
      </c>
      <c r="Z18" s="27">
        <f t="shared" si="5"/>
        <v>1.7624714970588684</v>
      </c>
      <c r="AA18" s="32" t="s">
        <v>309</v>
      </c>
      <c r="AB18" s="33" t="s">
        <v>309</v>
      </c>
      <c r="AC18" s="33">
        <v>0.5</v>
      </c>
      <c r="AD18" s="33" t="s">
        <v>309</v>
      </c>
      <c r="AE18" s="33" t="s">
        <v>309</v>
      </c>
      <c r="AF18" s="33">
        <f t="shared" si="10"/>
        <v>-999</v>
      </c>
      <c r="AG18" s="33">
        <f t="shared" si="11"/>
        <v>-999</v>
      </c>
      <c r="AH18" s="33">
        <f t="shared" si="12"/>
        <v>0.2749856853511289</v>
      </c>
      <c r="AI18" s="34">
        <v>0.5</v>
      </c>
      <c r="AJ18" s="4">
        <v>14.538000971640056</v>
      </c>
      <c r="AK18" s="32">
        <f t="shared" si="14"/>
        <v>0.2749856853511289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0.125</v>
      </c>
      <c r="F19" s="38">
        <f>IF(LEFT(VLOOKUP($B19,'Indicator chart'!$D$1:$J$36,6,FALSE),1)=" "," ",VLOOKUP($B19,'Indicator chart'!$D$1:$J$36,6,FALSE))</f>
        <v>0.07297128992395067</v>
      </c>
      <c r="G19" s="38">
        <f>IF(LEFT(VLOOKUP($B19,'Indicator chart'!$D$1:$J$36,7,FALSE),1)=" "," ",VLOOKUP($B19,'Indicator chart'!$D$1:$J$36,7,FALSE))</f>
        <v>0.2058864206896613</v>
      </c>
      <c r="H19" s="50">
        <f t="shared" si="0"/>
        <v>2</v>
      </c>
      <c r="I19" s="38">
        <v>0.02070442959666252</v>
      </c>
      <c r="J19" s="38">
        <v>0.10280519723892212</v>
      </c>
      <c r="K19" s="38">
        <v>0.13586413860321045</v>
      </c>
      <c r="L19" s="38">
        <v>0.18757161498069763</v>
      </c>
      <c r="M19" s="38">
        <v>0.2678571343421936</v>
      </c>
      <c r="N19" s="80">
        <f>VLOOKUP('Hide - Control'!B$3,'All practice data'!A:CA,A19+29,FALSE)</f>
        <v>0.13818606461658234</v>
      </c>
      <c r="O19" s="80">
        <f>VLOOKUP('Hide - Control'!C$3,'All practice data'!A:CA,A19+29,FALSE)</f>
        <v>0.10919341638628717</v>
      </c>
      <c r="P19" s="38">
        <f>VLOOKUP('Hide - Control'!$B$4,'All practice data'!B:BC,A19+2,FALSE)</f>
        <v>355</v>
      </c>
      <c r="Q19" s="38">
        <f>VLOOKUP('Hide - Control'!$B$4,'All practice data'!B:BC,15,FALSE)</f>
        <v>2569</v>
      </c>
      <c r="R19" s="38">
        <f>+((2*P19+1.96^2-1.96*SQRT(1.96^2+4*P19*(1-P19/Q19)))/(2*(Q19+1.96^2)))</f>
        <v>0.12538050384337068</v>
      </c>
      <c r="S19" s="38">
        <f>+((2*P19+1.96^2+1.96*SQRT(1.96^2+4*P19*(1-P19/Q19)))/(2*(Q19+1.96^2)))</f>
        <v>0.1520720995349329</v>
      </c>
      <c r="T19" s="53">
        <f t="shared" si="19"/>
        <v>0.2678571343421936</v>
      </c>
      <c r="U19" s="51">
        <f t="shared" si="20"/>
        <v>0.02070442959666252</v>
      </c>
      <c r="V19" s="7"/>
      <c r="W19" s="27">
        <f t="shared" si="2"/>
        <v>0.003871142864227295</v>
      </c>
      <c r="X19" s="27">
        <f t="shared" si="3"/>
        <v>0.2678571343421936</v>
      </c>
      <c r="Y19" s="27">
        <f t="shared" si="4"/>
        <v>0.003871142864227295</v>
      </c>
      <c r="Z19" s="27">
        <f t="shared" si="5"/>
        <v>0.2678571343421936</v>
      </c>
      <c r="AA19" s="32">
        <f t="shared" si="6"/>
        <v>0.06376583332392553</v>
      </c>
      <c r="AB19" s="33">
        <f t="shared" si="7"/>
        <v>0.37477009223405094</v>
      </c>
      <c r="AC19" s="33">
        <v>0.5</v>
      </c>
      <c r="AD19" s="33">
        <f t="shared" si="8"/>
        <v>0.6958720464218381</v>
      </c>
      <c r="AE19" s="33">
        <f t="shared" si="9"/>
        <v>1</v>
      </c>
      <c r="AF19" s="33">
        <f t="shared" si="10"/>
        <v>-999</v>
      </c>
      <c r="AG19" s="33">
        <f t="shared" si="11"/>
        <v>0.4588457760868829</v>
      </c>
      <c r="AH19" s="33">
        <f t="shared" si="12"/>
        <v>-999</v>
      </c>
      <c r="AI19" s="34">
        <f t="shared" si="13"/>
        <v>0.3989691761005835</v>
      </c>
      <c r="AJ19" s="4">
        <v>15.61399639702198</v>
      </c>
      <c r="AK19" s="32">
        <f t="shared" si="14"/>
        <v>-999</v>
      </c>
      <c r="AL19" s="34">
        <f t="shared" si="15"/>
        <v>-999</v>
      </c>
      <c r="AY19" s="103" t="s">
        <v>270</v>
      </c>
      <c r="AZ19" s="103" t="s">
        <v>429</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23</v>
      </c>
      <c r="E20" s="38">
        <f>IF(LEFT(VLOOKUP($B20,'Indicator chart'!$D$1:$J$36,5,FALSE),1)=" "," ",VLOOKUP($B20,'Indicator chart'!$D$1:$J$36,5,FALSE))</f>
        <v>0.5217391304347826</v>
      </c>
      <c r="F20" s="38">
        <f>IF(LEFT(VLOOKUP($B20,'Indicator chart'!$D$1:$J$36,6,FALSE),1)=" "," ",VLOOKUP($B20,'Indicator chart'!$D$1:$J$36,6,FALSE))</f>
        <v>0.3296242986421849</v>
      </c>
      <c r="G20" s="38">
        <f>IF(LEFT(VLOOKUP($B20,'Indicator chart'!$D$1:$J$36,7,FALSE),1)=" "," ",VLOOKUP($B20,'Indicator chart'!$D$1:$J$36,7,FALSE))</f>
        <v>0.7076313046005428</v>
      </c>
      <c r="H20" s="50">
        <f t="shared" si="0"/>
        <v>2</v>
      </c>
      <c r="I20" s="38">
        <v>0.09238772839307785</v>
      </c>
      <c r="J20" s="38">
        <v>0.3233333230018616</v>
      </c>
      <c r="K20" s="38">
        <v>0.4335341453552246</v>
      </c>
      <c r="L20" s="38">
        <v>0.5</v>
      </c>
      <c r="M20" s="38">
        <v>0.6666666865348816</v>
      </c>
      <c r="N20" s="80">
        <f>VLOOKUP('Hide - Control'!B$3,'All practice data'!A:CA,A20+29,FALSE)</f>
        <v>0.4241338112305854</v>
      </c>
      <c r="O20" s="80">
        <f>VLOOKUP('Hide - Control'!C$3,'All practice data'!A:CA,A20+29,FALSE)</f>
        <v>0.4534552930810221</v>
      </c>
      <c r="P20" s="38">
        <f>VLOOKUP('Hide - Control'!$B$4,'All practice data'!B:BC,A20+1,FALSE)</f>
        <v>355</v>
      </c>
      <c r="Q20" s="38">
        <f>VLOOKUP('Hide - Control'!$B$4,'All practice data'!B:BC,A20+2,FALSE)</f>
        <v>837</v>
      </c>
      <c r="R20" s="38">
        <f>+((2*P20+1.96^2-1.96*SQRT(1.96^2+4*P20*(1-P20/Q20)))/(2*(Q20+1.96^2)))</f>
        <v>0.39107364727617777</v>
      </c>
      <c r="S20" s="38">
        <f>+((2*P20+1.96^2+1.96*SQRT(1.96^2+4*P20*(1-P20/Q20)))/(2*(Q20+1.96^2)))</f>
        <v>0.45788720337631134</v>
      </c>
      <c r="T20" s="53">
        <f t="shared" si="19"/>
        <v>0.6666666865348816</v>
      </c>
      <c r="U20" s="51">
        <f t="shared" si="20"/>
        <v>0.09238772839307785</v>
      </c>
      <c r="V20" s="7"/>
      <c r="W20" s="27">
        <f t="shared" si="2"/>
        <v>0.09238772839307785</v>
      </c>
      <c r="X20" s="27">
        <f t="shared" si="3"/>
        <v>0.7746805623173714</v>
      </c>
      <c r="Y20" s="27">
        <f t="shared" si="4"/>
        <v>0.09238772839307785</v>
      </c>
      <c r="Z20" s="27">
        <f t="shared" si="5"/>
        <v>0.7746805623173714</v>
      </c>
      <c r="AA20" s="32">
        <f t="shared" si="6"/>
        <v>0</v>
      </c>
      <c r="AB20" s="33">
        <f t="shared" si="7"/>
        <v>0.3384845672208968</v>
      </c>
      <c r="AC20" s="33">
        <v>0.5</v>
      </c>
      <c r="AD20" s="33">
        <f t="shared" si="8"/>
        <v>0.5974154370968381</v>
      </c>
      <c r="AE20" s="33">
        <f t="shared" si="9"/>
        <v>0.8416898574747821</v>
      </c>
      <c r="AF20" s="33">
        <f t="shared" si="10"/>
        <v>-999</v>
      </c>
      <c r="AG20" s="33">
        <f t="shared" si="11"/>
        <v>0.6292773142174686</v>
      </c>
      <c r="AH20" s="33">
        <f t="shared" si="12"/>
        <v>-999</v>
      </c>
      <c r="AI20" s="34">
        <f t="shared" si="13"/>
        <v>0.5291973574032993</v>
      </c>
      <c r="AJ20" s="4">
        <v>16.689991822403904</v>
      </c>
      <c r="AK20" s="32">
        <f t="shared" si="14"/>
        <v>-999</v>
      </c>
      <c r="AL20" s="34">
        <f t="shared" si="15"/>
        <v>-999</v>
      </c>
      <c r="AY20" s="103" t="s">
        <v>211</v>
      </c>
      <c r="AZ20" s="103" t="s">
        <v>410</v>
      </c>
      <c r="BA20" s="103" t="s">
        <v>309</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v>
      </c>
      <c r="E21" s="38">
        <f>IF(LEFT(VLOOKUP($B21,'Indicator chart'!$D$1:$J$36,5,FALSE),1)=" "," ",VLOOKUP($B21,'Indicator chart'!$D$1:$J$36,5,FALSE))</f>
        <v>75.0375187593797</v>
      </c>
      <c r="F21" s="38">
        <f>IF(LEFT(VLOOKUP($B21,'Indicator chart'!$D$1:$J$36,6,FALSE),1)=" "," ",VLOOKUP($B21,'Indicator chart'!$D$1:$J$36,6,FALSE))</f>
        <v>27.40045948829014</v>
      </c>
      <c r="G21" s="38">
        <f>IF(LEFT(VLOOKUP($B21,'Indicator chart'!$D$1:$J$36,7,FALSE),1)=" "," ",VLOOKUP($B21,'Indicator chart'!$D$1:$J$36,7,FALSE))</f>
        <v>163.33035603649023</v>
      </c>
      <c r="H21" s="50">
        <f t="shared" si="0"/>
        <v>1</v>
      </c>
      <c r="I21" s="38">
        <v>61.46357345581055</v>
      </c>
      <c r="J21" s="38">
        <v>76.79877471923828</v>
      </c>
      <c r="K21" s="38">
        <v>178.39056396484375</v>
      </c>
      <c r="L21" s="38">
        <v>273.6354675292969</v>
      </c>
      <c r="M21" s="38">
        <v>440.0246276855469</v>
      </c>
      <c r="N21" s="80">
        <f>VLOOKUP('Hide - Control'!B$3,'All practice data'!A:CA,A21+29,FALSE)</f>
        <v>207.31292761283711</v>
      </c>
      <c r="O21" s="80">
        <f>VLOOKUP('Hide - Control'!C$3,'All practice data'!A:CA,A21+29,FALSE)</f>
        <v>377.7293140102421</v>
      </c>
      <c r="P21" s="38">
        <f>VLOOKUP('Hide - Control'!$B$4,'All practice data'!B:BC,A21+2,FALSE)</f>
        <v>433</v>
      </c>
      <c r="Q21" s="38">
        <f>VLOOKUP('Hide - Control'!$B$4,'All practice data'!B:BC,3,FALSE)</f>
        <v>208863</v>
      </c>
      <c r="R21" s="38">
        <f aca="true" t="shared" si="21" ref="R21:R27">100000*(P21*(1-1/(9*P21)-1.96/(3*SQRT(P21)))^3)/Q21</f>
        <v>188.24278401738124</v>
      </c>
      <c r="S21" s="38">
        <f aca="true" t="shared" si="22" ref="S21:S27">100000*((P21+1)*(1-1/(9*(P21+1))+1.96/(3*SQRT(P21+1)))^3)/Q21</f>
        <v>227.79116729650534</v>
      </c>
      <c r="T21" s="53">
        <f t="shared" si="19"/>
        <v>440.0246276855469</v>
      </c>
      <c r="U21" s="51">
        <f t="shared" si="20"/>
        <v>61.46357345581055</v>
      </c>
      <c r="V21" s="7"/>
      <c r="W21" s="27">
        <f t="shared" si="2"/>
        <v>-83.24349975585938</v>
      </c>
      <c r="X21" s="27">
        <f t="shared" si="3"/>
        <v>440.0246276855469</v>
      </c>
      <c r="Y21" s="27">
        <f t="shared" si="4"/>
        <v>-83.24349975585938</v>
      </c>
      <c r="Z21" s="27">
        <f t="shared" si="5"/>
        <v>440.0246276855469</v>
      </c>
      <c r="AA21" s="32">
        <f t="shared" si="6"/>
        <v>0.2765447876965786</v>
      </c>
      <c r="AB21" s="33">
        <f t="shared" si="7"/>
        <v>0.30585137156670916</v>
      </c>
      <c r="AC21" s="33">
        <v>0.5</v>
      </c>
      <c r="AD21" s="33">
        <f t="shared" si="8"/>
        <v>0.6820193101195874</v>
      </c>
      <c r="AE21" s="33">
        <f t="shared" si="9"/>
        <v>1</v>
      </c>
      <c r="AF21" s="33">
        <f t="shared" si="10"/>
        <v>-999</v>
      </c>
      <c r="AG21" s="33">
        <f t="shared" si="11"/>
        <v>-999</v>
      </c>
      <c r="AH21" s="33">
        <f t="shared" si="12"/>
        <v>0.3024854949396145</v>
      </c>
      <c r="AI21" s="34">
        <f t="shared" si="13"/>
        <v>0.8809495354133137</v>
      </c>
      <c r="AJ21" s="4">
        <v>17.765987247785823</v>
      </c>
      <c r="AK21" s="32">
        <f t="shared" si="14"/>
        <v>0.3024854949396145</v>
      </c>
      <c r="AL21" s="34">
        <f t="shared" si="15"/>
        <v>-999</v>
      </c>
      <c r="AY21" s="103" t="s">
        <v>123</v>
      </c>
      <c r="AZ21" s="103" t="s">
        <v>384</v>
      </c>
      <c r="BA21" s="103" t="s">
        <v>309</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162.58129064532267</v>
      </c>
      <c r="F22" s="38">
        <f>IF(LEFT(VLOOKUP($B22,'Indicator chart'!$D$1:$J$36,6,FALSE),1)=" "," ",VLOOKUP($B22,'Indicator chart'!$D$1:$J$36,6,FALSE))</f>
        <v>86.48268750956137</v>
      </c>
      <c r="G22" s="38">
        <f>IF(LEFT(VLOOKUP($B22,'Indicator chart'!$D$1:$J$36,7,FALSE),1)=" "," ",VLOOKUP($B22,'Indicator chart'!$D$1:$J$36,7,FALSE))</f>
        <v>278.0378993403249</v>
      </c>
      <c r="H22" s="50">
        <f t="shared" si="0"/>
        <v>2</v>
      </c>
      <c r="I22" s="38">
        <v>18.07059669494629</v>
      </c>
      <c r="J22" s="38">
        <v>139.1734161376953</v>
      </c>
      <c r="K22" s="38">
        <v>188.01963806152344</v>
      </c>
      <c r="L22" s="38">
        <v>265.963134765625</v>
      </c>
      <c r="M22" s="38">
        <v>444.1624450683594</v>
      </c>
      <c r="N22" s="80">
        <f>VLOOKUP('Hide - Control'!B$3,'All practice data'!A:CA,A22+29,FALSE)</f>
        <v>209.2280585838564</v>
      </c>
      <c r="O22" s="80">
        <f>VLOOKUP('Hide - Control'!C$3,'All practice data'!A:CA,A22+29,FALSE)</f>
        <v>282.45290788403287</v>
      </c>
      <c r="P22" s="38">
        <f>VLOOKUP('Hide - Control'!$B$4,'All practice data'!B:BC,A22+2,FALSE)</f>
        <v>437</v>
      </c>
      <c r="Q22" s="38">
        <f>VLOOKUP('Hide - Control'!$B$4,'All practice data'!B:BC,3,FALSE)</f>
        <v>208863</v>
      </c>
      <c r="R22" s="38">
        <f t="shared" si="21"/>
        <v>190.06791226441416</v>
      </c>
      <c r="S22" s="38">
        <f t="shared" si="22"/>
        <v>229.7961998036431</v>
      </c>
      <c r="T22" s="53">
        <f t="shared" si="19"/>
        <v>444.1624450683594</v>
      </c>
      <c r="U22" s="51">
        <f t="shared" si="20"/>
        <v>18.07059669494629</v>
      </c>
      <c r="V22" s="7"/>
      <c r="W22" s="27">
        <f t="shared" si="2"/>
        <v>-68.1231689453125</v>
      </c>
      <c r="X22" s="27">
        <f t="shared" si="3"/>
        <v>444.1624450683594</v>
      </c>
      <c r="Y22" s="27">
        <f t="shared" si="4"/>
        <v>-68.1231689453125</v>
      </c>
      <c r="Z22" s="27">
        <f t="shared" si="5"/>
        <v>444.1624450683594</v>
      </c>
      <c r="AA22" s="32">
        <f t="shared" si="6"/>
        <v>0.16825334009468876</v>
      </c>
      <c r="AB22" s="33">
        <f t="shared" si="7"/>
        <v>0.40465041260650253</v>
      </c>
      <c r="AC22" s="33">
        <v>0.5</v>
      </c>
      <c r="AD22" s="33">
        <f t="shared" si="8"/>
        <v>0.6521485174909116</v>
      </c>
      <c r="AE22" s="33">
        <f t="shared" si="9"/>
        <v>1</v>
      </c>
      <c r="AF22" s="33">
        <f t="shared" si="10"/>
        <v>-999</v>
      </c>
      <c r="AG22" s="33">
        <f t="shared" si="11"/>
        <v>0.4503434281183585</v>
      </c>
      <c r="AH22" s="33">
        <f t="shared" si="12"/>
        <v>-999</v>
      </c>
      <c r="AI22" s="34">
        <f t="shared" si="13"/>
        <v>0.6843371495104862</v>
      </c>
      <c r="AJ22" s="4">
        <v>18.841982673167745</v>
      </c>
      <c r="AK22" s="32">
        <f t="shared" si="14"/>
        <v>-999</v>
      </c>
      <c r="AL22" s="34">
        <f t="shared" si="15"/>
        <v>-999</v>
      </c>
      <c r="AY22" s="103" t="s">
        <v>149</v>
      </c>
      <c r="AZ22" s="103" t="s">
        <v>394</v>
      </c>
      <c r="BA22" s="103" t="s">
        <v>309</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15</v>
      </c>
      <c r="E23" s="38">
        <f>IF(LEFT(VLOOKUP($B23,'Indicator chart'!$D$1:$J$36,5,FALSE),1)=" "," ",VLOOKUP($B23,'Indicator chart'!$D$1:$J$36,5,FALSE))</f>
        <v>187.59379689844923</v>
      </c>
      <c r="F23" s="38">
        <f>IF(LEFT(VLOOKUP($B23,'Indicator chart'!$D$1:$J$36,6,FALSE),1)=" "," ",VLOOKUP($B23,'Indicator chart'!$D$1:$J$36,6,FALSE))</f>
        <v>104.91707512157868</v>
      </c>
      <c r="G23" s="38">
        <f>IF(LEFT(VLOOKUP($B23,'Indicator chart'!$D$1:$J$36,7,FALSE),1)=" "," ",VLOOKUP($B23,'Indicator chart'!$D$1:$J$36,7,FALSE))</f>
        <v>309.42751359819147</v>
      </c>
      <c r="H23" s="50">
        <f t="shared" si="0"/>
        <v>3</v>
      </c>
      <c r="I23" s="38">
        <v>3.248678207397461</v>
      </c>
      <c r="J23" s="38">
        <v>45.84290313720703</v>
      </c>
      <c r="K23" s="38">
        <v>71.7967758178711</v>
      </c>
      <c r="L23" s="38">
        <v>84.10440063476562</v>
      </c>
      <c r="M23" s="38">
        <v>187.5937957763672</v>
      </c>
      <c r="N23" s="80">
        <f>VLOOKUP('Hide - Control'!B$3,'All practice data'!A:CA,A23+29,FALSE)</f>
        <v>73.25375964148748</v>
      </c>
      <c r="O23" s="80">
        <f>VLOOKUP('Hide - Control'!C$3,'All practice data'!A:CA,A23+29,FALSE)</f>
        <v>70.46674929228394</v>
      </c>
      <c r="P23" s="38">
        <f>VLOOKUP('Hide - Control'!$B$4,'All practice data'!B:BC,A23+2,FALSE)</f>
        <v>153</v>
      </c>
      <c r="Q23" s="38">
        <f>VLOOKUP('Hide - Control'!$B$4,'All practice data'!B:BC,3,FALSE)</f>
        <v>208863</v>
      </c>
      <c r="R23" s="38">
        <f t="shared" si="21"/>
        <v>62.105449669522145</v>
      </c>
      <c r="S23" s="38">
        <f t="shared" si="22"/>
        <v>85.82509281197113</v>
      </c>
      <c r="T23" s="53">
        <f t="shared" si="19"/>
        <v>187.5937957763672</v>
      </c>
      <c r="U23" s="51">
        <f t="shared" si="20"/>
        <v>3.248678207397461</v>
      </c>
      <c r="V23" s="7"/>
      <c r="W23" s="27">
        <f t="shared" si="2"/>
        <v>-44.000244140625</v>
      </c>
      <c r="X23" s="27">
        <f t="shared" si="3"/>
        <v>187.5937957763672</v>
      </c>
      <c r="Y23" s="27">
        <f t="shared" si="4"/>
        <v>-44.000244140625</v>
      </c>
      <c r="Z23" s="27">
        <f t="shared" si="5"/>
        <v>187.5937957763672</v>
      </c>
      <c r="AA23" s="32">
        <f t="shared" si="6"/>
        <v>0.20401614119671385</v>
      </c>
      <c r="AB23" s="33">
        <f t="shared" si="7"/>
        <v>0.3879337625011143</v>
      </c>
      <c r="AC23" s="33">
        <v>0.5</v>
      </c>
      <c r="AD23" s="33">
        <f t="shared" si="8"/>
        <v>0.5531430982477176</v>
      </c>
      <c r="AE23" s="33">
        <f t="shared" si="9"/>
        <v>1</v>
      </c>
      <c r="AF23" s="33">
        <f t="shared" si="10"/>
        <v>-999</v>
      </c>
      <c r="AG23" s="33">
        <f t="shared" si="11"/>
        <v>-999</v>
      </c>
      <c r="AH23" s="33">
        <f t="shared" si="12"/>
        <v>1.0000000048450386</v>
      </c>
      <c r="AI23" s="34">
        <f t="shared" si="13"/>
        <v>0.494257077919346</v>
      </c>
      <c r="AJ23" s="4">
        <v>19.917978098549675</v>
      </c>
      <c r="AK23" s="32">
        <f t="shared" si="14"/>
        <v>-999</v>
      </c>
      <c r="AL23" s="34">
        <f t="shared" si="15"/>
        <v>1.0000000048450386</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12</v>
      </c>
      <c r="E24" s="38">
        <f>IF(LEFT(VLOOKUP($B24,'Indicator chart'!$D$1:$J$36,5,FALSE),1)=" "," ",VLOOKUP($B24,'Indicator chart'!$D$1:$J$36,5,FALSE))</f>
        <v>150.0750375187594</v>
      </c>
      <c r="F24" s="38">
        <f>IF(LEFT(VLOOKUP($B24,'Indicator chart'!$D$1:$J$36,6,FALSE),1)=" "," ",VLOOKUP($B24,'Indicator chart'!$D$1:$J$36,6,FALSE))</f>
        <v>77.45659789734427</v>
      </c>
      <c r="G24" s="38">
        <f>IF(LEFT(VLOOKUP($B24,'Indicator chart'!$D$1:$J$36,7,FALSE),1)=" "," ",VLOOKUP($B24,'Indicator chart'!$D$1:$J$36,7,FALSE))</f>
        <v>262.16904227250564</v>
      </c>
      <c r="H24" s="50">
        <f t="shared" si="0"/>
        <v>2</v>
      </c>
      <c r="I24" s="38">
        <v>27.3076171875</v>
      </c>
      <c r="J24" s="38">
        <v>110.06978607177734</v>
      </c>
      <c r="K24" s="38">
        <v>160.2258758544922</v>
      </c>
      <c r="L24" s="38">
        <v>251.07337951660156</v>
      </c>
      <c r="M24" s="38">
        <v>397.9576416015625</v>
      </c>
      <c r="N24" s="80">
        <f>VLOOKUP('Hide - Control'!B$3,'All practice data'!A:CA,A24+29,FALSE)</f>
        <v>209.70684132661123</v>
      </c>
      <c r="O24" s="80">
        <f>VLOOKUP('Hide - Control'!C$3,'All practice data'!A:CA,A24+29,FALSE)</f>
        <v>323.23046266988894</v>
      </c>
      <c r="P24" s="38">
        <f>VLOOKUP('Hide - Control'!$B$4,'All practice data'!B:BC,A24+2,FALSE)</f>
        <v>438</v>
      </c>
      <c r="Q24" s="38">
        <f>VLOOKUP('Hide - Control'!$B$4,'All practice data'!B:BC,3,FALSE)</f>
        <v>208863</v>
      </c>
      <c r="R24" s="38">
        <f t="shared" si="21"/>
        <v>190.52425878282736</v>
      </c>
      <c r="S24" s="38">
        <f t="shared" si="22"/>
        <v>230.29739368892808</v>
      </c>
      <c r="T24" s="53">
        <f t="shared" si="19"/>
        <v>397.9576416015625</v>
      </c>
      <c r="U24" s="51">
        <f t="shared" si="20"/>
        <v>27.3076171875</v>
      </c>
      <c r="V24" s="7"/>
      <c r="W24" s="27">
        <f t="shared" si="2"/>
        <v>-77.50588989257812</v>
      </c>
      <c r="X24" s="27">
        <f t="shared" si="3"/>
        <v>397.9576416015625</v>
      </c>
      <c r="Y24" s="27">
        <f t="shared" si="4"/>
        <v>-77.50588989257812</v>
      </c>
      <c r="Z24" s="27">
        <f t="shared" si="5"/>
        <v>397.9576416015625</v>
      </c>
      <c r="AA24" s="32">
        <f t="shared" si="6"/>
        <v>0.22044489248355695</v>
      </c>
      <c r="AB24" s="33">
        <f t="shared" si="7"/>
        <v>0.39451117391674667</v>
      </c>
      <c r="AC24" s="33">
        <v>0.5</v>
      </c>
      <c r="AD24" s="33">
        <f t="shared" si="8"/>
        <v>0.6910714442738053</v>
      </c>
      <c r="AE24" s="33">
        <f t="shared" si="9"/>
        <v>1</v>
      </c>
      <c r="AF24" s="33">
        <f t="shared" si="10"/>
        <v>-999</v>
      </c>
      <c r="AG24" s="33">
        <f t="shared" si="11"/>
        <v>0.478650647918603</v>
      </c>
      <c r="AH24" s="33">
        <f t="shared" si="12"/>
        <v>-999</v>
      </c>
      <c r="AI24" s="34">
        <f t="shared" si="13"/>
        <v>0.842832995630929</v>
      </c>
      <c r="AJ24" s="4">
        <v>20.99397352393159</v>
      </c>
      <c r="AK24" s="32">
        <f t="shared" si="14"/>
        <v>-999</v>
      </c>
      <c r="AL24" s="34">
        <f t="shared" si="15"/>
        <v>-999</v>
      </c>
      <c r="AY24" s="103" t="s">
        <v>65</v>
      </c>
      <c r="AZ24" s="103" t="s">
        <v>66</v>
      </c>
      <c r="BA24" s="103" t="s">
        <v>490</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39</v>
      </c>
      <c r="E25" s="38">
        <f>IF(LEFT(VLOOKUP($B25,'Indicator chart'!$D$1:$J$36,5,FALSE),1)=" "," ",VLOOKUP($B25,'Indicator chart'!$D$1:$J$36,5,FALSE))</f>
        <v>487.743871935968</v>
      </c>
      <c r="F25" s="38">
        <f>IF(LEFT(VLOOKUP($B25,'Indicator chart'!$D$1:$J$36,6,FALSE),1)=" "," ",VLOOKUP($B25,'Indicator chart'!$D$1:$J$36,6,FALSE))</f>
        <v>346.7895771669038</v>
      </c>
      <c r="G25" s="38">
        <f>IF(LEFT(VLOOKUP($B25,'Indicator chart'!$D$1:$J$36,7,FALSE),1)=" "," ",VLOOKUP($B25,'Indicator chart'!$D$1:$J$36,7,FALSE))</f>
        <v>666.7836195138594</v>
      </c>
      <c r="H25" s="50">
        <f t="shared" si="0"/>
        <v>2</v>
      </c>
      <c r="I25" s="38">
        <v>185.5142822265625</v>
      </c>
      <c r="J25" s="38">
        <v>436.5018005371094</v>
      </c>
      <c r="K25" s="38">
        <v>485.885498046875</v>
      </c>
      <c r="L25" s="38">
        <v>624.0982666015625</v>
      </c>
      <c r="M25" s="38">
        <v>884.244384765625</v>
      </c>
      <c r="N25" s="80">
        <f>VLOOKUP('Hide - Control'!B$3,'All practice data'!A:CA,A25+29,FALSE)</f>
        <v>524.267103316528</v>
      </c>
      <c r="O25" s="80">
        <f>VLOOKUP('Hide - Control'!C$3,'All practice data'!A:CA,A25+29,FALSE)</f>
        <v>562.6134400960308</v>
      </c>
      <c r="P25" s="38">
        <f>VLOOKUP('Hide - Control'!$B$4,'All practice data'!B:BC,A25+2,FALSE)</f>
        <v>1095</v>
      </c>
      <c r="Q25" s="38">
        <f>VLOOKUP('Hide - Control'!$B$4,'All practice data'!B:BC,3,FALSE)</f>
        <v>208863</v>
      </c>
      <c r="R25" s="38">
        <f t="shared" si="21"/>
        <v>493.66996601808984</v>
      </c>
      <c r="S25" s="38">
        <f t="shared" si="22"/>
        <v>556.2641145781569</v>
      </c>
      <c r="T25" s="53">
        <f t="shared" si="19"/>
        <v>884.244384765625</v>
      </c>
      <c r="U25" s="51">
        <f t="shared" si="20"/>
        <v>185.5142822265625</v>
      </c>
      <c r="V25" s="7"/>
      <c r="W25" s="27">
        <f t="shared" si="2"/>
        <v>87.526611328125</v>
      </c>
      <c r="X25" s="27">
        <f t="shared" si="3"/>
        <v>884.244384765625</v>
      </c>
      <c r="Y25" s="27">
        <f t="shared" si="4"/>
        <v>87.526611328125</v>
      </c>
      <c r="Z25" s="27">
        <f t="shared" si="5"/>
        <v>884.244384765625</v>
      </c>
      <c r="AA25" s="32">
        <f t="shared" si="6"/>
        <v>0.12298918659196238</v>
      </c>
      <c r="AB25" s="33">
        <f t="shared" si="7"/>
        <v>0.43801607149204685</v>
      </c>
      <c r="AC25" s="33">
        <v>0.5</v>
      </c>
      <c r="AD25" s="33">
        <f t="shared" si="8"/>
        <v>0.6734777020956341</v>
      </c>
      <c r="AE25" s="33">
        <f t="shared" si="9"/>
        <v>1</v>
      </c>
      <c r="AF25" s="33">
        <f t="shared" si="10"/>
        <v>-999</v>
      </c>
      <c r="AG25" s="33">
        <f t="shared" si="11"/>
        <v>0.502332537256041</v>
      </c>
      <c r="AH25" s="33">
        <f t="shared" si="12"/>
        <v>-999</v>
      </c>
      <c r="AI25" s="34">
        <f t="shared" si="13"/>
        <v>0.5963050462877302</v>
      </c>
      <c r="AJ25" s="4">
        <v>22.06996894931352</v>
      </c>
      <c r="AK25" s="32">
        <f t="shared" si="14"/>
        <v>-999</v>
      </c>
      <c r="AL25" s="34">
        <f t="shared" si="15"/>
        <v>-999</v>
      </c>
      <c r="AY25" s="103" t="s">
        <v>257</v>
      </c>
      <c r="AZ25" s="103" t="s">
        <v>258</v>
      </c>
      <c r="BA25" s="103" t="s">
        <v>490</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45</v>
      </c>
      <c r="E26" s="38">
        <f>IF(LEFT(VLOOKUP($B26,'Indicator chart'!$D$1:$J$36,5,FALSE),1)=" "," ",VLOOKUP($B26,'Indicator chart'!$D$1:$J$36,5,FALSE))</f>
        <v>562.7813906953477</v>
      </c>
      <c r="F26" s="38">
        <f>IF(LEFT(VLOOKUP($B26,'Indicator chart'!$D$1:$J$36,6,FALSE),1)=" "," ",VLOOKUP($B26,'Indicator chart'!$D$1:$J$36,6,FALSE))</f>
        <v>410.45594972546786</v>
      </c>
      <c r="G26" s="38">
        <f>IF(LEFT(VLOOKUP($B26,'Indicator chart'!$D$1:$J$36,7,FALSE),1)=" "," ",VLOOKUP($B26,'Indicator chart'!$D$1:$J$36,7,FALSE))</f>
        <v>753.0672083755594</v>
      </c>
      <c r="H26" s="50">
        <f t="shared" si="0"/>
        <v>3</v>
      </c>
      <c r="I26" s="38">
        <v>112.1823501586914</v>
      </c>
      <c r="J26" s="38">
        <v>275.9811096191406</v>
      </c>
      <c r="K26" s="38">
        <v>315.33154296875</v>
      </c>
      <c r="L26" s="38">
        <v>391.5403747558594</v>
      </c>
      <c r="M26" s="38">
        <v>562.7813720703125</v>
      </c>
      <c r="N26" s="80">
        <f>VLOOKUP('Hide - Control'!B$3,'All practice data'!A:CA,A26+29,FALSE)</f>
        <v>342.80844381245123</v>
      </c>
      <c r="O26" s="80">
        <f>VLOOKUP('Hide - Control'!C$3,'All practice data'!A:CA,A26+29,FALSE)</f>
        <v>405.57105879375996</v>
      </c>
      <c r="P26" s="38">
        <f>VLOOKUP('Hide - Control'!$B$4,'All practice data'!B:BC,A26+2,FALSE)</f>
        <v>716</v>
      </c>
      <c r="Q26" s="38">
        <f>VLOOKUP('Hide - Control'!$B$4,'All practice data'!B:BC,3,FALSE)</f>
        <v>208863</v>
      </c>
      <c r="R26" s="38">
        <f t="shared" si="21"/>
        <v>318.15442740319304</v>
      </c>
      <c r="S26" s="38">
        <f t="shared" si="22"/>
        <v>368.86563926422286</v>
      </c>
      <c r="T26" s="53">
        <f t="shared" si="19"/>
        <v>562.7813720703125</v>
      </c>
      <c r="U26" s="51">
        <f t="shared" si="20"/>
        <v>112.1823501586914</v>
      </c>
      <c r="V26" s="7"/>
      <c r="W26" s="27">
        <f t="shared" si="2"/>
        <v>67.8817138671875</v>
      </c>
      <c r="X26" s="27">
        <f t="shared" si="3"/>
        <v>562.7813720703125</v>
      </c>
      <c r="Y26" s="27">
        <f t="shared" si="4"/>
        <v>67.8817138671875</v>
      </c>
      <c r="Z26" s="27">
        <f t="shared" si="5"/>
        <v>562.7813720703125</v>
      </c>
      <c r="AA26" s="32">
        <f t="shared" si="6"/>
        <v>0.08951438045512106</v>
      </c>
      <c r="AB26" s="33">
        <f t="shared" si="7"/>
        <v>0.42048805712963633</v>
      </c>
      <c r="AC26" s="33">
        <v>0.5</v>
      </c>
      <c r="AD26" s="33">
        <f t="shared" si="8"/>
        <v>0.6539884510403733</v>
      </c>
      <c r="AE26" s="33">
        <f t="shared" si="9"/>
        <v>1</v>
      </c>
      <c r="AF26" s="33">
        <f t="shared" si="10"/>
        <v>-999</v>
      </c>
      <c r="AG26" s="33">
        <f t="shared" si="11"/>
        <v>-999</v>
      </c>
      <c r="AH26" s="33">
        <f t="shared" si="12"/>
        <v>1.0000000376339626</v>
      </c>
      <c r="AI26" s="34">
        <f t="shared" si="13"/>
        <v>0.6823390142410896</v>
      </c>
      <c r="AJ26" s="4">
        <v>23.145964374695435</v>
      </c>
      <c r="AK26" s="32">
        <f t="shared" si="14"/>
        <v>-999</v>
      </c>
      <c r="AL26" s="34">
        <f t="shared" si="15"/>
        <v>1.0000000376339626</v>
      </c>
      <c r="AY26" s="103" t="s">
        <v>120</v>
      </c>
      <c r="AZ26" s="103" t="s">
        <v>383</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108</v>
      </c>
      <c r="E27" s="38">
        <f>IF(LEFT(VLOOKUP($B27,'Indicator chart'!$D$1:$J$36,5,FALSE),1)=" "," ",VLOOKUP($B27,'Indicator chart'!$D$1:$J$36,5,FALSE))</f>
        <v>1350.6753376688343</v>
      </c>
      <c r="F27" s="38">
        <f>IF(LEFT(VLOOKUP($B27,'Indicator chart'!$D$1:$J$36,6,FALSE),1)=" "," ",VLOOKUP($B27,'Indicator chart'!$D$1:$J$36,6,FALSE))</f>
        <v>1107.958519899008</v>
      </c>
      <c r="G27" s="38">
        <f>IF(LEFT(VLOOKUP($B27,'Indicator chart'!$D$1:$J$36,7,FALSE),1)=" "," ",VLOOKUP($B27,'Indicator chart'!$D$1:$J$36,7,FALSE))</f>
        <v>1630.7434813506743</v>
      </c>
      <c r="H27" s="50">
        <f t="shared" si="0"/>
        <v>2</v>
      </c>
      <c r="I27" s="38">
        <v>500.6827392578125</v>
      </c>
      <c r="J27" s="38">
        <v>912.795654296875</v>
      </c>
      <c r="K27" s="38">
        <v>1125.1402587890625</v>
      </c>
      <c r="L27" s="38">
        <v>1261.312744140625</v>
      </c>
      <c r="M27" s="38">
        <v>1586.29443359375</v>
      </c>
      <c r="N27" s="80">
        <f>VLOOKUP('Hide - Control'!B$3,'All practice data'!A:CA,A27+29,FALSE)</f>
        <v>1159.6118029521745</v>
      </c>
      <c r="O27" s="80">
        <f>VLOOKUP('Hide - Control'!C$3,'All practice data'!A:CA,A27+29,FALSE)</f>
        <v>1059.3522061277838</v>
      </c>
      <c r="P27" s="38">
        <f>VLOOKUP('Hide - Control'!$B$4,'All practice data'!B:BC,A27+2,FALSE)</f>
        <v>2422</v>
      </c>
      <c r="Q27" s="38">
        <f>VLOOKUP('Hide - Control'!$B$4,'All practice data'!B:BC,3,FALSE)</f>
        <v>208863</v>
      </c>
      <c r="R27" s="38">
        <f t="shared" si="21"/>
        <v>1113.883863802162</v>
      </c>
      <c r="S27" s="38">
        <f t="shared" si="22"/>
        <v>1206.7350226537217</v>
      </c>
      <c r="T27" s="53">
        <f t="shared" si="19"/>
        <v>1586.29443359375</v>
      </c>
      <c r="U27" s="51">
        <f t="shared" si="20"/>
        <v>500.6827392578125</v>
      </c>
      <c r="V27" s="7"/>
      <c r="W27" s="27">
        <f t="shared" si="2"/>
        <v>500.6827392578125</v>
      </c>
      <c r="X27" s="27">
        <f t="shared" si="3"/>
        <v>1749.5977783203125</v>
      </c>
      <c r="Y27" s="27">
        <f t="shared" si="4"/>
        <v>500.6827392578125</v>
      </c>
      <c r="Z27" s="27">
        <f t="shared" si="5"/>
        <v>1749.5977783203125</v>
      </c>
      <c r="AA27" s="32">
        <f t="shared" si="6"/>
        <v>0</v>
      </c>
      <c r="AB27" s="33">
        <f t="shared" si="7"/>
        <v>0.32997674153112583</v>
      </c>
      <c r="AC27" s="33">
        <v>0.5</v>
      </c>
      <c r="AD27" s="33">
        <f t="shared" si="8"/>
        <v>0.6090326251926477</v>
      </c>
      <c r="AE27" s="33">
        <f t="shared" si="9"/>
        <v>0.8692438319510137</v>
      </c>
      <c r="AF27" s="33">
        <f t="shared" si="10"/>
        <v>-999</v>
      </c>
      <c r="AG27" s="33">
        <f t="shared" si="11"/>
        <v>0.6805848050713442</v>
      </c>
      <c r="AH27" s="33">
        <f t="shared" si="12"/>
        <v>-999</v>
      </c>
      <c r="AI27" s="34">
        <f t="shared" si="13"/>
        <v>0.44732383660728225</v>
      </c>
      <c r="AJ27" s="4">
        <v>24.221959800077364</v>
      </c>
      <c r="AK27" s="32">
        <f t="shared" si="14"/>
        <v>-999</v>
      </c>
      <c r="AL27" s="34">
        <f t="shared" si="15"/>
        <v>-999</v>
      </c>
      <c r="AY27" s="103" t="s">
        <v>115</v>
      </c>
      <c r="AZ27" s="103" t="s">
        <v>382</v>
      </c>
      <c r="BA27" s="103" t="s">
        <v>490</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52</v>
      </c>
      <c r="E28" s="38">
        <f>IF(LEFT(VLOOKUP($B28,'Indicator chart'!$D$1:$J$36,5,FALSE),1)=" "," ",VLOOKUP($B28,'Indicator chart'!$D$1:$J$36,5,FALSE))</f>
        <v>650.3251625812907</v>
      </c>
      <c r="F28" s="38">
        <f>IF(LEFT(VLOOKUP($B28,'Indicator chart'!$D$1:$J$36,6,FALSE),1)=" "," ",VLOOKUP($B28,'Indicator chart'!$D$1:$J$36,6,FALSE))</f>
        <v>485.6563052957534</v>
      </c>
      <c r="G28" s="38">
        <f>IF(LEFT(VLOOKUP($B28,'Indicator chart'!$D$1:$J$36,7,FALSE),1)=" "," ",VLOOKUP($B28,'Indicator chart'!$D$1:$J$36,7,FALSE))</f>
        <v>852.836039033483</v>
      </c>
      <c r="H28" s="50">
        <f t="shared" si="0"/>
        <v>2</v>
      </c>
      <c r="I28" s="38">
        <v>155.9251708984375</v>
      </c>
      <c r="J28" s="38">
        <v>524.3372802734375</v>
      </c>
      <c r="K28" s="38">
        <v>611.2971801757812</v>
      </c>
      <c r="L28" s="38">
        <v>666.4695434570312</v>
      </c>
      <c r="M28" s="38">
        <v>1226.734375</v>
      </c>
      <c r="N28" s="80">
        <f>VLOOKUP('Hide - Control'!B$3,'All practice data'!A:CA,A28+29,FALSE)</f>
        <v>610.4479970123957</v>
      </c>
      <c r="O28" s="80">
        <f>VLOOKUP('Hide - Control'!C$3,'All practice data'!A:CA,A28+29,FALSE)</f>
        <v>582.9390489900089</v>
      </c>
      <c r="P28" s="38">
        <f>VLOOKUP('Hide - Control'!$B$4,'All practice data'!B:BC,A28+2,FALSE)</f>
        <v>1275</v>
      </c>
      <c r="Q28" s="38">
        <f>VLOOKUP('Hide - Control'!$B$4,'All practice data'!B:BC,3,FALSE)</f>
        <v>208863</v>
      </c>
      <c r="R28" s="38">
        <f>100000*(P28*(1-1/(9*P28)-1.96/(3*SQRT(P28)))^3)/Q28</f>
        <v>577.3954727973916</v>
      </c>
      <c r="S28" s="38">
        <f>100000*((P28+1)*(1-1/(9*(P28+1))+1.96/(3*SQRT(P28+1)))^3)/Q28</f>
        <v>644.8993696606433</v>
      </c>
      <c r="T28" s="53">
        <f t="shared" si="19"/>
        <v>1226.734375</v>
      </c>
      <c r="U28" s="51">
        <f t="shared" si="20"/>
        <v>155.9251708984375</v>
      </c>
      <c r="V28" s="7"/>
      <c r="W28" s="27">
        <f t="shared" si="2"/>
        <v>-4.1400146484375</v>
      </c>
      <c r="X28" s="27">
        <f t="shared" si="3"/>
        <v>1226.734375</v>
      </c>
      <c r="Y28" s="27">
        <f t="shared" si="4"/>
        <v>-4.1400146484375</v>
      </c>
      <c r="Z28" s="27">
        <f t="shared" si="5"/>
        <v>1226.734375</v>
      </c>
      <c r="AA28" s="32">
        <f t="shared" si="6"/>
        <v>0.1300418522742949</v>
      </c>
      <c r="AB28" s="33">
        <f t="shared" si="7"/>
        <v>0.42935111768213713</v>
      </c>
      <c r="AC28" s="33">
        <v>0.5</v>
      </c>
      <c r="AD28" s="33">
        <f t="shared" si="8"/>
        <v>0.5448237153565347</v>
      </c>
      <c r="AE28" s="33">
        <f t="shared" si="9"/>
        <v>1</v>
      </c>
      <c r="AF28" s="33">
        <f t="shared" si="10"/>
        <v>-999</v>
      </c>
      <c r="AG28" s="33">
        <f t="shared" si="11"/>
        <v>0.5317075265630123</v>
      </c>
      <c r="AH28" s="33">
        <f t="shared" si="12"/>
        <v>-999</v>
      </c>
      <c r="AI28" s="34">
        <f t="shared" si="13"/>
        <v>0.47696098690145633</v>
      </c>
      <c r="AJ28" s="4">
        <v>25.297955225459287</v>
      </c>
      <c r="AK28" s="32">
        <f t="shared" si="14"/>
        <v>-999</v>
      </c>
      <c r="AL28" s="34">
        <f t="shared" si="15"/>
        <v>-999</v>
      </c>
      <c r="AY28" s="103" t="s">
        <v>241</v>
      </c>
      <c r="AZ28" s="103" t="s">
        <v>242</v>
      </c>
      <c r="BA28" s="103" t="s">
        <v>490</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385</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406</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365</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430</v>
      </c>
      <c r="BA33" s="103" t="s">
        <v>490</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529</v>
      </c>
      <c r="I35" s="291"/>
      <c r="Y35" s="43"/>
      <c r="Z35" s="44"/>
      <c r="AA35" s="44"/>
      <c r="AB35" s="43"/>
      <c r="AC35" s="43"/>
      <c r="AY35" s="103" t="s">
        <v>159</v>
      </c>
      <c r="AZ35" s="103" t="s">
        <v>398</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387</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404</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431</v>
      </c>
      <c r="BA41" s="103" t="s">
        <v>490</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428</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416</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407</v>
      </c>
      <c r="BA46" s="103" t="s">
        <v>490</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411</v>
      </c>
      <c r="BA48" s="103" t="s">
        <v>490</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422</v>
      </c>
      <c r="BA49" s="103" t="s">
        <v>490</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388</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421</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362</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408</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378</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423</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368</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412</v>
      </c>
      <c r="BA61" s="103" t="s">
        <v>490</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490</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401</v>
      </c>
      <c r="BA63" s="103" t="s">
        <v>309</v>
      </c>
      <c r="BB63" s="10">
        <v>318405</v>
      </c>
      <c r="BE63" s="70"/>
      <c r="BF63" s="239"/>
    </row>
    <row r="64" spans="1:58" ht="12.75">
      <c r="A64" s="3"/>
      <c r="B64" s="12"/>
      <c r="C64" s="3"/>
      <c r="I64" s="11"/>
      <c r="V64" s="3"/>
      <c r="AY64" s="103" t="s">
        <v>78</v>
      </c>
      <c r="AZ64" s="103" t="s">
        <v>369</v>
      </c>
      <c r="BA64" s="103" t="s">
        <v>490</v>
      </c>
      <c r="BB64" s="10">
        <v>181285</v>
      </c>
      <c r="BE64" s="70"/>
      <c r="BF64" s="241"/>
    </row>
    <row r="65" spans="1:58" ht="12.75">
      <c r="A65" s="3"/>
      <c r="B65" s="12"/>
      <c r="C65" s="3"/>
      <c r="AY65" s="103" t="s">
        <v>479</v>
      </c>
      <c r="AZ65" s="103" t="s">
        <v>480</v>
      </c>
      <c r="BA65" s="103" t="s">
        <v>309</v>
      </c>
      <c r="BB65" s="10">
        <v>1169302</v>
      </c>
      <c r="BE65" s="70"/>
      <c r="BF65" s="241"/>
    </row>
    <row r="66" spans="1:58" ht="12.75">
      <c r="A66" s="3"/>
      <c r="B66" s="12"/>
      <c r="C66" s="3"/>
      <c r="E66" s="2"/>
      <c r="F66" s="2"/>
      <c r="G66" s="2"/>
      <c r="V66" s="2"/>
      <c r="AY66" s="103" t="s">
        <v>200</v>
      </c>
      <c r="AZ66" s="103" t="s">
        <v>409</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432</v>
      </c>
      <c r="BA70" s="103" t="s">
        <v>489</v>
      </c>
      <c r="BB70" s="10">
        <v>141474</v>
      </c>
      <c r="BE70" s="70"/>
      <c r="BF70" s="239"/>
    </row>
    <row r="71" spans="1:58" ht="12.75">
      <c r="A71" s="3"/>
      <c r="B71" s="12"/>
      <c r="C71" s="3"/>
      <c r="AY71" s="103" t="s">
        <v>127</v>
      </c>
      <c r="AZ71" s="103" t="s">
        <v>386</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361</v>
      </c>
      <c r="BA73" s="103" t="s">
        <v>309</v>
      </c>
      <c r="BB73" s="10">
        <v>190143</v>
      </c>
      <c r="BE73" s="70"/>
      <c r="BF73" s="239"/>
    </row>
    <row r="74" spans="1:58" ht="12.75">
      <c r="A74" s="3"/>
      <c r="B74" s="12"/>
      <c r="C74" s="3"/>
      <c r="AY74" s="103" t="s">
        <v>165</v>
      </c>
      <c r="AZ74" s="103" t="s">
        <v>166</v>
      </c>
      <c r="BA74" s="103" t="s">
        <v>490</v>
      </c>
      <c r="BB74" s="10">
        <v>419928</v>
      </c>
      <c r="BE74" s="70"/>
      <c r="BF74" s="241"/>
    </row>
    <row r="75" spans="1:58" ht="12.75">
      <c r="A75" s="3"/>
      <c r="B75" s="12"/>
      <c r="C75" s="3"/>
      <c r="AY75" s="103" t="s">
        <v>113</v>
      </c>
      <c r="AZ75" s="103" t="s">
        <v>380</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490</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414</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403</v>
      </c>
      <c r="BA81" s="103" t="s">
        <v>490</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377</v>
      </c>
      <c r="BA83" s="103" t="s">
        <v>490</v>
      </c>
      <c r="BB83" s="10">
        <v>208442</v>
      </c>
      <c r="BE83" s="70"/>
      <c r="BF83" s="241"/>
    </row>
    <row r="84" spans="1:58" ht="12.75">
      <c r="A84" s="3"/>
      <c r="B84" s="12"/>
      <c r="C84" s="3"/>
      <c r="AY84" s="103" t="s">
        <v>203</v>
      </c>
      <c r="AZ84" s="103" t="s">
        <v>204</v>
      </c>
      <c r="BA84" s="103" t="s">
        <v>490</v>
      </c>
      <c r="BB84" s="10">
        <v>545543</v>
      </c>
      <c r="BE84" s="70"/>
      <c r="BF84" s="241"/>
    </row>
    <row r="85" spans="1:58" ht="12.75">
      <c r="A85" s="3"/>
      <c r="B85" s="12"/>
      <c r="C85" s="3"/>
      <c r="AY85" s="103" t="s">
        <v>135</v>
      </c>
      <c r="AZ85" s="103" t="s">
        <v>392</v>
      </c>
      <c r="BA85" s="103" t="s">
        <v>490</v>
      </c>
      <c r="BB85" s="10">
        <v>274067</v>
      </c>
      <c r="BE85" s="70"/>
      <c r="BF85" s="241"/>
    </row>
    <row r="86" spans="1:58" ht="12.75">
      <c r="A86" s="3"/>
      <c r="B86" s="12"/>
      <c r="C86" s="3"/>
      <c r="AY86" s="103" t="s">
        <v>251</v>
      </c>
      <c r="AZ86" s="103" t="s">
        <v>252</v>
      </c>
      <c r="BA86" s="103" t="s">
        <v>490</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490</v>
      </c>
      <c r="BB88" s="10">
        <v>258492</v>
      </c>
      <c r="BE88" s="70"/>
      <c r="BF88" s="241"/>
    </row>
    <row r="89" spans="1:58" ht="12.75">
      <c r="A89" s="3"/>
      <c r="B89" s="12"/>
      <c r="C89" s="3"/>
      <c r="AY89" s="103" t="s">
        <v>81</v>
      </c>
      <c r="AZ89" s="103" t="s">
        <v>370</v>
      </c>
      <c r="BA89" s="103" t="s">
        <v>309</v>
      </c>
      <c r="BB89" s="10">
        <v>283085</v>
      </c>
      <c r="BE89" s="70"/>
      <c r="BF89" s="241"/>
    </row>
    <row r="90" spans="1:58" ht="12.75">
      <c r="A90" s="3"/>
      <c r="B90" s="12"/>
      <c r="C90" s="3"/>
      <c r="AY90" s="103" t="s">
        <v>76</v>
      </c>
      <c r="AZ90" s="103" t="s">
        <v>367</v>
      </c>
      <c r="BA90" s="103" t="s">
        <v>309</v>
      </c>
      <c r="BB90" s="10">
        <v>357346</v>
      </c>
      <c r="BE90" s="70"/>
      <c r="BF90" s="241"/>
    </row>
    <row r="91" spans="1:58" ht="12.75">
      <c r="A91" s="3"/>
      <c r="B91" s="12"/>
      <c r="C91" s="3"/>
      <c r="AY91" s="103" t="s">
        <v>243</v>
      </c>
      <c r="AZ91" s="103" t="s">
        <v>420</v>
      </c>
      <c r="BA91" s="103" t="s">
        <v>490</v>
      </c>
      <c r="BB91" s="10">
        <v>748575</v>
      </c>
      <c r="BE91" s="247"/>
      <c r="BF91" s="249"/>
    </row>
    <row r="92" spans="1:58" ht="12.75">
      <c r="A92" s="3"/>
      <c r="B92" s="12"/>
      <c r="C92" s="3"/>
      <c r="AY92" s="103" t="s">
        <v>249</v>
      </c>
      <c r="AZ92" s="103" t="s">
        <v>250</v>
      </c>
      <c r="BA92" s="103" t="s">
        <v>490</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405</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371</v>
      </c>
      <c r="BA98" s="103" t="s">
        <v>309</v>
      </c>
      <c r="BB98" s="10">
        <v>214052</v>
      </c>
      <c r="BE98" s="248"/>
      <c r="BF98" s="241"/>
    </row>
    <row r="99" spans="1:58" ht="12.75">
      <c r="A99" s="3"/>
      <c r="B99" s="12"/>
      <c r="C99" s="3"/>
      <c r="AY99" s="103" t="s">
        <v>205</v>
      </c>
      <c r="AZ99" s="103" t="s">
        <v>206</v>
      </c>
      <c r="BA99" s="103" t="s">
        <v>490</v>
      </c>
      <c r="BB99" s="10">
        <v>795503</v>
      </c>
      <c r="BE99" s="70"/>
      <c r="BF99" s="249"/>
    </row>
    <row r="100" spans="1:58" ht="12.75">
      <c r="A100" s="3"/>
      <c r="B100" s="12"/>
      <c r="C100" s="3"/>
      <c r="AY100" s="103" t="s">
        <v>226</v>
      </c>
      <c r="AZ100" s="103" t="s">
        <v>415</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402</v>
      </c>
      <c r="BA103" s="103" t="s">
        <v>309</v>
      </c>
      <c r="BB103" s="10">
        <v>656875</v>
      </c>
      <c r="BE103" s="70"/>
      <c r="BF103" s="239"/>
    </row>
    <row r="104" spans="51:58" ht="12.75">
      <c r="AY104" s="103" t="s">
        <v>114</v>
      </c>
      <c r="AZ104" s="103" t="s">
        <v>381</v>
      </c>
      <c r="BA104" s="103" t="s">
        <v>309</v>
      </c>
      <c r="BB104" s="10">
        <v>236592</v>
      </c>
      <c r="BF104" s="252"/>
    </row>
    <row r="105" spans="51:58" ht="12.75">
      <c r="AY105" s="103" t="s">
        <v>259</v>
      </c>
      <c r="AZ105" s="103" t="s">
        <v>424</v>
      </c>
      <c r="BA105" s="103" t="s">
        <v>490</v>
      </c>
      <c r="BB105" s="10">
        <v>671572</v>
      </c>
      <c r="BE105" s="237"/>
      <c r="BF105" s="238"/>
    </row>
    <row r="106" spans="51:58" ht="12.75">
      <c r="AY106" s="103" t="s">
        <v>239</v>
      </c>
      <c r="AZ106" s="103" t="s">
        <v>240</v>
      </c>
      <c r="BA106" s="103" t="s">
        <v>490</v>
      </c>
      <c r="BB106" s="10">
        <v>177882</v>
      </c>
      <c r="BF106" s="252"/>
    </row>
    <row r="107" spans="51:58" ht="12.75">
      <c r="AY107" s="103" t="s">
        <v>91</v>
      </c>
      <c r="AZ107" s="103" t="s">
        <v>374</v>
      </c>
      <c r="BA107" s="103" t="s">
        <v>309</v>
      </c>
      <c r="BB107" s="10">
        <v>274443</v>
      </c>
      <c r="BF107" s="252"/>
    </row>
    <row r="108" spans="51:58" ht="12.75">
      <c r="AY108" s="103" t="s">
        <v>95</v>
      </c>
      <c r="AZ108" s="103" t="s">
        <v>376</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396</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417</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395</v>
      </c>
      <c r="BA117" s="103" t="s">
        <v>490</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427</v>
      </c>
      <c r="BA119" s="103" t="s">
        <v>309</v>
      </c>
      <c r="BB119" s="10">
        <v>538131</v>
      </c>
      <c r="BE119" s="70"/>
      <c r="BF119" s="239"/>
    </row>
    <row r="120" spans="51:58" ht="12.75">
      <c r="AY120" s="103" t="s">
        <v>150</v>
      </c>
      <c r="AZ120" s="103" t="s">
        <v>151</v>
      </c>
      <c r="BA120" s="103" t="s">
        <v>490</v>
      </c>
      <c r="BB120" s="10">
        <v>389725</v>
      </c>
      <c r="BE120" s="70"/>
      <c r="BF120" s="239"/>
    </row>
    <row r="121" spans="51:58" ht="12.75">
      <c r="AY121" s="103" t="s">
        <v>212</v>
      </c>
      <c r="AZ121" s="103" t="s">
        <v>213</v>
      </c>
      <c r="BA121" s="103" t="s">
        <v>490</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419</v>
      </c>
      <c r="BA123" s="103" t="s">
        <v>490</v>
      </c>
      <c r="BB123" s="10">
        <v>615835</v>
      </c>
      <c r="BF123" s="252"/>
    </row>
    <row r="124" spans="51:58" ht="12.75">
      <c r="AY124" s="103" t="s">
        <v>130</v>
      </c>
      <c r="AZ124" s="103" t="s">
        <v>389</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391</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375</v>
      </c>
      <c r="BA128" s="103" t="s">
        <v>490</v>
      </c>
      <c r="BB128" s="10">
        <v>298190</v>
      </c>
      <c r="BE128" s="250"/>
      <c r="BF128" s="249"/>
    </row>
    <row r="129" spans="51:58" ht="12.75">
      <c r="AY129" s="103" t="s">
        <v>85</v>
      </c>
      <c r="AZ129" s="103" t="s">
        <v>372</v>
      </c>
      <c r="BA129" s="103" t="s">
        <v>309</v>
      </c>
      <c r="BB129" s="10">
        <v>191885</v>
      </c>
      <c r="BE129" s="70"/>
      <c r="BF129" s="249"/>
    </row>
    <row r="130" spans="51:58" ht="12.75">
      <c r="AY130" s="103" t="s">
        <v>233</v>
      </c>
      <c r="AZ130" s="103" t="s">
        <v>418</v>
      </c>
      <c r="BA130" s="103" t="s">
        <v>309</v>
      </c>
      <c r="BB130" s="10">
        <v>268223</v>
      </c>
      <c r="BE130" s="70"/>
      <c r="BF130" s="249"/>
    </row>
    <row r="131" spans="51:58" ht="12.75">
      <c r="AY131" s="103" t="s">
        <v>245</v>
      </c>
      <c r="AZ131" s="103" t="s">
        <v>246</v>
      </c>
      <c r="BA131" s="103" t="s">
        <v>490</v>
      </c>
      <c r="BB131" s="10">
        <v>616983</v>
      </c>
      <c r="BE131" s="247"/>
      <c r="BF131" s="249"/>
    </row>
    <row r="132" spans="51:58" ht="12.75">
      <c r="AY132" s="103" t="s">
        <v>131</v>
      </c>
      <c r="AZ132" s="103" t="s">
        <v>390</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397</v>
      </c>
      <c r="BA134" s="103" t="s">
        <v>309</v>
      </c>
      <c r="BB134" s="10">
        <v>390971</v>
      </c>
      <c r="BE134" s="243"/>
      <c r="BF134" s="238"/>
    </row>
    <row r="135" spans="51:58" ht="12.75">
      <c r="AY135" s="103" t="s">
        <v>121</v>
      </c>
      <c r="AZ135" s="103" t="s">
        <v>122</v>
      </c>
      <c r="BA135" s="103" t="s">
        <v>489</v>
      </c>
      <c r="BB135" s="10">
        <v>218182</v>
      </c>
      <c r="BE135" s="250"/>
      <c r="BF135" s="249"/>
    </row>
    <row r="136" spans="51:58" ht="12.75">
      <c r="AY136" s="103" t="s">
        <v>148</v>
      </c>
      <c r="AZ136" s="103" t="s">
        <v>393</v>
      </c>
      <c r="BA136" s="103" t="s">
        <v>490</v>
      </c>
      <c r="BB136" s="10">
        <v>236598</v>
      </c>
      <c r="BE136" s="237"/>
      <c r="BF136" s="238"/>
    </row>
    <row r="137" spans="51:58" ht="12.75">
      <c r="AY137" s="103" t="s">
        <v>160</v>
      </c>
      <c r="AZ137" s="103" t="s">
        <v>399</v>
      </c>
      <c r="BA137" s="103" t="s">
        <v>490</v>
      </c>
      <c r="BB137" s="10">
        <v>165993</v>
      </c>
      <c r="BF137" s="252"/>
    </row>
    <row r="138" spans="51:58" ht="12.75">
      <c r="AY138" s="103" t="s">
        <v>54</v>
      </c>
      <c r="AZ138" s="103" t="s">
        <v>55</v>
      </c>
      <c r="BA138" s="103" t="s">
        <v>309</v>
      </c>
      <c r="BB138" s="10">
        <v>145889</v>
      </c>
      <c r="BE138" s="70"/>
      <c r="BF138" s="239"/>
    </row>
    <row r="139" spans="51:58" ht="12.75">
      <c r="AY139" s="103" t="s">
        <v>75</v>
      </c>
      <c r="AZ139" s="103" t="s">
        <v>366</v>
      </c>
      <c r="BA139" s="103" t="s">
        <v>309</v>
      </c>
      <c r="BB139" s="10">
        <v>267393</v>
      </c>
      <c r="BE139" s="237"/>
      <c r="BF139" s="238"/>
    </row>
    <row r="140" spans="51:58" ht="12.75">
      <c r="AY140" s="103" t="s">
        <v>201</v>
      </c>
      <c r="AZ140" s="103" t="s">
        <v>202</v>
      </c>
      <c r="BA140" s="103" t="s">
        <v>490</v>
      </c>
      <c r="BB140" s="10">
        <v>232551</v>
      </c>
      <c r="BE140" s="70"/>
      <c r="BF140" s="239"/>
    </row>
    <row r="141" spans="51:58" ht="12.75">
      <c r="AY141" s="103" t="s">
        <v>167</v>
      </c>
      <c r="AZ141" s="103" t="s">
        <v>168</v>
      </c>
      <c r="BA141" s="103" t="s">
        <v>490</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413</v>
      </c>
      <c r="BA148" s="103" t="s">
        <v>490</v>
      </c>
      <c r="BB148" s="10">
        <v>707573</v>
      </c>
      <c r="BF148" s="252"/>
    </row>
    <row r="149" spans="51:58" ht="12.75">
      <c r="AY149" s="103" t="s">
        <v>218</v>
      </c>
      <c r="AZ149" s="103" t="s">
        <v>219</v>
      </c>
      <c r="BA149" s="103" t="s">
        <v>490</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490</v>
      </c>
      <c r="BB152" s="10">
        <v>462395</v>
      </c>
      <c r="BE152" s="250"/>
      <c r="BF152" s="239"/>
    </row>
    <row r="153" spans="51:58" ht="12.75">
      <c r="AY153" s="103" t="s">
        <v>191</v>
      </c>
      <c r="AZ153" s="103" t="s">
        <v>192</v>
      </c>
      <c r="BA153" s="103" t="s">
        <v>309</v>
      </c>
      <c r="BB153" s="10">
        <v>332176</v>
      </c>
      <c r="BF153" s="252"/>
    </row>
    <row r="154" spans="51:58" ht="12.75">
      <c r="AY154" s="103" t="s">
        <v>161</v>
      </c>
      <c r="AZ154" s="103" t="s">
        <v>400</v>
      </c>
      <c r="BA154" s="103" t="s">
        <v>309</v>
      </c>
      <c r="BB154" s="10">
        <v>246213</v>
      </c>
      <c r="BE154" s="237"/>
      <c r="BF154" s="238"/>
    </row>
    <row r="155" spans="51:58" ht="12.75">
      <c r="AY155" s="103" t="s">
        <v>235</v>
      </c>
      <c r="AZ155" s="103" t="s">
        <v>236</v>
      </c>
      <c r="BA155" s="103" t="s">
        <v>490</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508</v>
      </c>
      <c r="B3" s="56" t="s">
        <v>382</v>
      </c>
      <c r="C3" s="56" t="s">
        <v>24</v>
      </c>
    </row>
    <row r="4" spans="1:2" ht="12.75">
      <c r="A4" s="76">
        <v>1</v>
      </c>
      <c r="B4" s="78" t="s">
        <v>115</v>
      </c>
    </row>
    <row r="5" ht="12.75">
      <c r="A5" s="280" t="s">
        <v>508</v>
      </c>
    </row>
    <row r="6" ht="12.75">
      <c r="A6" s="280" t="s">
        <v>514</v>
      </c>
    </row>
    <row r="7" ht="12.75">
      <c r="A7" s="280" t="s">
        <v>515</v>
      </c>
    </row>
    <row r="8" ht="12.75">
      <c r="A8" s="280" t="s">
        <v>500</v>
      </c>
    </row>
    <row r="9" ht="12.75">
      <c r="A9" s="280" t="s">
        <v>509</v>
      </c>
    </row>
    <row r="10" ht="12.75">
      <c r="A10" s="280" t="s">
        <v>517</v>
      </c>
    </row>
    <row r="11" ht="12.75">
      <c r="A11" s="280" t="s">
        <v>504</v>
      </c>
    </row>
    <row r="12" ht="12.75">
      <c r="A12" s="280" t="s">
        <v>510</v>
      </c>
    </row>
    <row r="13" ht="12.75">
      <c r="A13" s="280" t="s">
        <v>497</v>
      </c>
    </row>
    <row r="14" ht="12.75">
      <c r="A14" s="280" t="s">
        <v>512</v>
      </c>
    </row>
    <row r="15" ht="12.75">
      <c r="A15" s="280" t="s">
        <v>503</v>
      </c>
    </row>
    <row r="16" ht="12.75">
      <c r="A16" s="280" t="s">
        <v>511</v>
      </c>
    </row>
    <row r="17" ht="12.75">
      <c r="A17" s="280" t="s">
        <v>513</v>
      </c>
    </row>
    <row r="18" ht="12.75">
      <c r="A18" s="280" t="s">
        <v>518</v>
      </c>
    </row>
    <row r="19" ht="12.75">
      <c r="A19" s="280" t="s">
        <v>519</v>
      </c>
    </row>
    <row r="20" ht="12.75">
      <c r="A20" s="280" t="s">
        <v>506</v>
      </c>
    </row>
    <row r="21" ht="12.75">
      <c r="A21" s="280" t="s">
        <v>495</v>
      </c>
    </row>
    <row r="22" ht="12.75">
      <c r="A22" s="280" t="s">
        <v>507</v>
      </c>
    </row>
    <row r="23" ht="12.75">
      <c r="A23" s="280" t="s">
        <v>498</v>
      </c>
    </row>
    <row r="24" ht="12.75">
      <c r="A24" s="280" t="s">
        <v>496</v>
      </c>
    </row>
    <row r="25" ht="12.75">
      <c r="A25" s="280" t="s">
        <v>516</v>
      </c>
    </row>
    <row r="26" ht="12.75">
      <c r="A26" s="280" t="s">
        <v>505</v>
      </c>
    </row>
    <row r="27" ht="12.75">
      <c r="A27" s="280" t="s">
        <v>502</v>
      </c>
    </row>
    <row r="28" ht="12.75">
      <c r="A28" s="280" t="s">
        <v>494</v>
      </c>
    </row>
    <row r="29" ht="12.75">
      <c r="A29" s="280" t="s">
        <v>501</v>
      </c>
    </row>
    <row r="30" ht="12.75">
      <c r="A30" s="280" t="s">
        <v>499</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