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<sst xmlns="http://schemas.openxmlformats.org/spreadsheetml/2006/main" count="1224" uniqueCount="558">
  <si>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</si>
  <si>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</si>
  <si>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</si>
  <si>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</si>
  <si>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</si>
  <si>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</si>
  <si>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</si>
  <si>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</si>
  <si>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</si>
  <si>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</si>
  <si>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</si>
  <si>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</si>
  <si>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</si>
  <si>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</si>
  <si>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</si>
  <si>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</si>
  <si>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</si>
  <si>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</si>
  <si>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</si>
  <si>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</si>
  <si>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</si>
  <si>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</si>
  <si>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</si>
  <si>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</si>
  <si>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</si>
  <si>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</si>
  <si>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</si>
  <si>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</si>
  <si>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</si>
  <si>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</si>
  <si>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</si>
  <si>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</si>
  <si>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</si>
  <si>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</si>
  <si>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</si>
  <si>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</si>
  <si>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</si>
  <si>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</si>
  <si>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</si>
  <si>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</si>
  <si>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</si>
  <si>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</si>
  <si>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</si>
  <si>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</si>
  <si>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</si>
  <si>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</si>
  <si>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</si>
  <si>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</si>
  <si>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</si>
  <si>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</si>
  <si>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</si>
  <si>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</si>
  <si>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</si>
  <si>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</si>
  <si>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</si>
  <si>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</si>
  <si>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</si>
  <si>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</si>
  <si>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</si>
  <si>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</si>
  <si>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</si>
  <si>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</si>
  <si>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</si>
  <si>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</si>
  <si>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</si>
  <si>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</si>
  <si>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</si>
  <si>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</si>
  <si>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</si>
  <si>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</si>
  <si>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</si>
  <si>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</si>
  <si>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</si>
  <si>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</si>
  <si>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</si>
  <si>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</si>
  <si>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</si>
  <si>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</si>
  <si>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</si>
  <si>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</si>
  <si>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</si>
  <si>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</si>
  <si>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</si>
  <si>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</si>
  <si>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</si>
  <si>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</si>
  <si>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</si>
  <si>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</si>
  <si>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</si>
  <si>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</si>
  <si>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</si>
  <si>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</si>
  <si>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</si>
  <si>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</si>
  <si>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</si>
  <si>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</si>
  <si>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</si>
  <si>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</si>
  <si>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</si>
  <si>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</si>
  <si>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</si>
  <si>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</si>
  <si>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</si>
  <si>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</si>
  <si>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</si>
  <si>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</si>
  <si>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</si>
  <si>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</si>
  <si>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</si>
  <si>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</si>
  <si>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</si>
  <si>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</si>
  <si>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</si>
  <si>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</si>
  <si>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</si>
  <si>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</si>
  <si>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</si>
  <si>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</si>
  <si>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</si>
  <si>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</si>
  <si>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</si>
  <si>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</si>
  <si>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</si>
  <si>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</si>
  <si>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</si>
  <si>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</si>
  <si>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</si>
  <si>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</si>
  <si>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</si>
  <si>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</si>
  <si>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</si>
  <si>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</si>
  <si>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</si>
  <si>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</si>
  <si>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</si>
  <si>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</si>
  <si>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</si>
  <si>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</si>
  <si>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</si>
  <si>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</si>
  <si>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</si>
  <si>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</si>
  <si>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</si>
  <si>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</si>
  <si>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</si>
  <si>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</si>
  <si>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</si>
  <si>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</si>
  <si>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</si>
  <si>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</si>
  <si>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</si>
  <si>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</si>
  <si>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</si>
  <si>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</si>
  <si>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</si>
  <si>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</si>
  <si>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</si>
  <si>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</si>
  <si>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</si>
  <si>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</si>
  <si>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</si>
  <si>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</si>
  <si>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</si>
  <si>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</si>
  <si>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</si>
  <si>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</si>
  <si>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</si>
  <si>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</si>
  <si>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</si>
  <si>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</si>
  <si>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</si>
  <si>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</si>
  <si>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</si>
  <si>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</si>
  <si>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</si>
  <si>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</si>
  <si>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</si>
  <si>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</si>
  <si>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</si>
  <si>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</si>
  <si>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</si>
  <si>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</si>
  <si>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</si>
  <si>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</si>
  <si>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</si>
  <si>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</si>
  <si>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</si>
  <si>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</si>
  <si>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</si>
  <si>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</si>
  <si>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</si>
  <si>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</si>
  <si>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</si>
  <si>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</si>
  <si>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</si>
  <si>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</si>
  <si>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</si>
  <si>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</si>
  <si>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</si>
  <si>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</si>
  <si>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</si>
  <si>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</si>
  <si>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</si>
  <si>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</si>
  <si>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</si>
  <si>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</si>
  <si>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</si>
  <si>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</si>
  <si>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</si>
  <si>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</si>
  <si>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</si>
  <si>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</si>
  <si>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</si>
  <si>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</si>
  <si>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</si>
  <si>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</si>
  <si>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</si>
  <si>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</si>
  <si>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</si>
  <si>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</si>
  <si>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</si>
  <si>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</si>
  <si>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</si>
  <si>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</si>
  <si>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</si>
  <si>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</si>
  <si>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</si>
  <si>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</si>
  <si>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</si>
  <si>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</si>
  <si>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</si>
  <si>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</si>
  <si>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</si>
  <si>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</si>
  <si>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</si>
  <si>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</si>
  <si>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</si>
  <si>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</si>
  <si>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</si>
  <si>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</si>
  <si>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</si>
  <si>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</si>
  <si>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</si>
  <si>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</si>
  <si>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</si>
  <si>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</si>
  <si>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</si>
  <si>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</si>
  <si>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</si>
  <si>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</si>
  <si>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</si>
  <si>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</si>
  <si>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</si>
  <si>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</si>
  <si>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</si>
  <si>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</si>
  <si>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</si>
  <si>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</si>
  <si>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</si>
  <si>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</si>
  <si>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</si>
  <si>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</si>
  <si>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</si>
  <si>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</si>
  <si>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</si>
  <si>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</si>
  <si>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</si>
  <si>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</si>
  <si>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</si>
  <si>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</si>
  <si>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</si>
  <si>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</si>
  <si>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</si>
  <si>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</si>
  <si>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</si>
  <si>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</si>
  <si>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</si>
  <si>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</si>
  <si>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</si>
  <si>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</si>
  <si>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</si>
  <si>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</si>
  <si>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B87001</t>
  </si>
  <si>
    <t>B87002</t>
  </si>
  <si>
    <t>B87003</t>
  </si>
  <si>
    <t>B87004</t>
  </si>
  <si>
    <t>B87005</t>
  </si>
  <si>
    <t>B87006</t>
  </si>
  <si>
    <t>B87007</t>
  </si>
  <si>
    <t>B87008</t>
  </si>
  <si>
    <t>B87009</t>
  </si>
  <si>
    <t>B87011</t>
  </si>
  <si>
    <t>B87012</t>
  </si>
  <si>
    <t>B87013</t>
  </si>
  <si>
    <t>B87015</t>
  </si>
  <si>
    <t>B87016</t>
  </si>
  <si>
    <t>B87017</t>
  </si>
  <si>
    <t>B87018</t>
  </si>
  <si>
    <t>B87019</t>
  </si>
  <si>
    <t>B87020</t>
  </si>
  <si>
    <t>B87021</t>
  </si>
  <si>
    <t>B87022</t>
  </si>
  <si>
    <t>B87023</t>
  </si>
  <si>
    <t>B87025</t>
  </si>
  <si>
    <t>B87026</t>
  </si>
  <si>
    <t>B87027</t>
  </si>
  <si>
    <t>B87028</t>
  </si>
  <si>
    <t>B87029</t>
  </si>
  <si>
    <t>B87030</t>
  </si>
  <si>
    <t>B87031</t>
  </si>
  <si>
    <t>B87032</t>
  </si>
  <si>
    <t>B87033</t>
  </si>
  <si>
    <t>B87036</t>
  </si>
  <si>
    <t>B87039</t>
  </si>
  <si>
    <t>B87040</t>
  </si>
  <si>
    <t>B87041</t>
  </si>
  <si>
    <t>B87042</t>
  </si>
  <si>
    <t>B87044</t>
  </si>
  <si>
    <t>B87600</t>
  </si>
  <si>
    <t>B87602</t>
  </si>
  <si>
    <t>B87604</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</si>
  <si>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</si>
  <si>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</si>
  <si>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</si>
  <si>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</si>
  <si>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</si>
  <si>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</si>
  <si>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</si>
  <si>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</si>
  <si>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</si>
  <si>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</si>
  <si>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</si>
  <si>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</si>
  <si>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</si>
  <si>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</si>
  <si>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</si>
  <si>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</si>
  <si>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</si>
  <si>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</si>
  <si>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</si>
  <si>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</si>
  <si>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</si>
  <si>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</si>
  <si>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</si>
  <si>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</si>
  <si>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</si>
  <si>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</si>
  <si>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</si>
  <si>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</si>
  <si>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</si>
  <si>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</si>
  <si>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</si>
  <si>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</si>
  <si>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</si>
  <si>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</si>
  <si>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</si>
  <si>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</si>
  <si>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</si>
  <si>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</si>
  <si>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</si>
  <si>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</si>
  <si>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</si>
  <si>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</si>
  <si>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</si>
  <si>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</si>
  <si>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</si>
  <si>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</si>
  <si>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</si>
  <si>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</si>
  <si>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</si>
  <si>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</si>
  <si>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</si>
  <si>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</si>
  <si>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</si>
  <si>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</si>
  <si>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</si>
  <si>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</si>
  <si>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</si>
  <si>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</si>
  <si>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</si>
  <si>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</si>
  <si>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</si>
  <si>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</si>
  <si>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</si>
  <si>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</si>
  <si>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</si>
  <si>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</si>
  <si>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</si>
  <si>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</si>
  <si>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</si>
  <si>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</si>
  <si>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</si>
  <si>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</si>
  <si>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</si>
  <si>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</si>
  <si>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</si>
  <si>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</si>
  <si>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</si>
  <si>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</si>
  <si>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</si>
  <si>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</si>
  <si>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</si>
  <si>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</si>
  <si>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</si>
  <si>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</si>
  <si>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</si>
  <si>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</si>
  <si>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</si>
  <si>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</si>
  <si>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</si>
  <si>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</si>
  <si>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</si>
  <si>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</si>
  <si>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</si>
  <si>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</si>
  <si>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</si>
  <si>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</si>
  <si>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</si>
  <si>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</si>
  <si>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</si>
  <si>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</si>
  <si>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</si>
  <si>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</si>
  <si>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</si>
  <si>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</si>
  <si>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</si>
  <si>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</si>
  <si>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</si>
  <si>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</si>
  <si>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</si>
  <si>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</si>
  <si>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</si>
  <si>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</si>
  <si>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</si>
  <si>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</si>
  <si>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</si>
  <si>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</si>
  <si>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</si>
  <si>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</si>
  <si>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</si>
  <si>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</si>
  <si>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</si>
  <si>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</si>
  <si>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</si>
  <si>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</si>
  <si>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</si>
  <si>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</si>
  <si>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</si>
  <si>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</si>
  <si>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</si>
  <si>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</si>
  <si>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</si>
  <si>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</si>
  <si>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</si>
  <si>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</si>
  <si>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</si>
  <si>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</si>
  <si>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</si>
  <si>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</si>
  <si>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</si>
  <si>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</si>
  <si>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</si>
  <si>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</si>
  <si>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</si>
  <si>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</si>
  <si>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</si>
  <si>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</si>
  <si>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</si>
  <si>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</si>
  <si>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</si>
  <si>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</si>
  <si>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</si>
  <si>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</si>
  <si>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</si>
  <si>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</si>
  <si>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</si>
  <si>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</si>
  <si>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</si>
  <si>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</si>
  <si>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</si>
  <si>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</si>
  <si>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</si>
  <si>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</si>
  <si>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</si>
  <si>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</si>
  <si>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</si>
  <si>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</si>
  <si>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</si>
  <si>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</si>
  <si>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</si>
  <si>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</si>
  <si>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</si>
  <si>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</si>
  <si>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</si>
  <si>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</si>
  <si>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</si>
  <si>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</si>
  <si>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</si>
  <si>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</si>
  <si>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</si>
  <si>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</si>
  <si>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</si>
  <si>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</si>
  <si>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</si>
  <si>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</si>
  <si>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</si>
  <si>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</si>
  <si>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(B87001) MIDDLESTOWN</t>
  </si>
  <si>
    <t>(B87002) ORCHARD CROFT</t>
  </si>
  <si>
    <t>(B87003) COLLEGE LANE</t>
  </si>
  <si>
    <t>(B87004) WARRENGATE</t>
  </si>
  <si>
    <t>(B87005) RIVERSIDE</t>
  </si>
  <si>
    <t>(B87006) STOCKINGATE</t>
  </si>
  <si>
    <t>(B87007) NORTHGATE</t>
  </si>
  <si>
    <t>(B87008) LUPSET HEALTH CENTRE</t>
  </si>
  <si>
    <t>(B87009) ST. THOMAS ROAD</t>
  </si>
  <si>
    <t>(B87011) FRIARWOOD</t>
  </si>
  <si>
    <t>(B87012) MAYBUSH</t>
  </si>
  <si>
    <t>(B87013) OUTWOOD PARK</t>
  </si>
  <si>
    <t>(B87015) STUART ROAD</t>
  </si>
  <si>
    <t>(B87016) WHITE ROSE</t>
  </si>
  <si>
    <t>(B87017) ALMSHOUSE</t>
  </si>
  <si>
    <t>(B87018) HENRY MOORE</t>
  </si>
  <si>
    <t>(B87019) STANLEY</t>
  </si>
  <si>
    <t>(B87020) CHAPELTHORPE</t>
  </si>
  <si>
    <t>(B87021) ASH GROVE</t>
  </si>
  <si>
    <t>(B87022) HOMESTEAD</t>
  </si>
  <si>
    <t>(B87023) ELIZABETH COURT</t>
  </si>
  <si>
    <t>(B87025) WELBECK ST</t>
  </si>
  <si>
    <t>(B87026) THE GRANGE</t>
  </si>
  <si>
    <t>(B87027) NEW SOUTHGATE</t>
  </si>
  <si>
    <t>(B87028) CROFTON AND SHARLSTON MEDICAL PRACTICE</t>
  </si>
  <si>
    <t>(B87029) GROVE</t>
  </si>
  <si>
    <t>(B87030) FERRYBRIDGE</t>
  </si>
  <si>
    <t>(B87031) CHURCH STREET SURGERY</t>
  </si>
  <si>
    <t>(B87032) STATION LANE</t>
  </si>
  <si>
    <t>(B87033) NEWLAND SURGERY</t>
  </si>
  <si>
    <t>(B87036) LITTLE LANE</t>
  </si>
  <si>
    <t>(B87039) KINGS MEDICAL PRACTICE</t>
  </si>
  <si>
    <t>(B87040) PROSPECT SURGERY</t>
  </si>
  <si>
    <t>(B87041) PARK VIEW SURGERY</t>
  </si>
  <si>
    <t>(B87042) TIEVE TARA</t>
  </si>
  <si>
    <t>(B87044) ALVERTHORPE</t>
  </si>
  <si>
    <t>(B87600) QUEEN STREET</t>
  </si>
  <si>
    <t>(B87602) PATIENCE LANE</t>
  </si>
  <si>
    <t>(B87604) EASTMOOR</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</si>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</sst>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0.7027609905570942</c:v>
                </c:pt>
                <c:pt idx="3">
                  <c:v>1</c:v>
                </c:pt>
                <c:pt idx="4">
                  <c:v>0.7501482734509523</c:v>
                </c:pt>
                <c:pt idx="5">
                  <c:v>1</c:v>
                </c:pt>
                <c:pt idx="6">
                  <c:v>1</c:v>
                </c:pt>
                <c:pt idx="7">
                  <c:v>0.9177670806340461</c:v>
                </c:pt>
                <c:pt idx="8">
                  <c:v>0.6010041691077683</c:v>
                </c:pt>
                <c:pt idx="9">
                  <c:v>0.9641888592570333</c:v>
                </c:pt>
                <c:pt idx="10">
                  <c:v>0.8442872740604654</c:v>
                </c:pt>
                <c:pt idx="11">
                  <c:v>0.8026507418818806</c:v>
                </c:pt>
                <c:pt idx="12">
                  <c:v>0.8289442279947709</c:v>
                </c:pt>
                <c:pt idx="13">
                  <c:v>0</c:v>
                </c:pt>
                <c:pt idx="14">
                  <c:v>1</c:v>
                </c:pt>
                <c:pt idx="15">
                  <c:v>0.7950893707047483</c:v>
                </c:pt>
                <c:pt idx="16">
                  <c:v>1</c:v>
                </c:pt>
                <c:pt idx="17">
                  <c:v>1</c:v>
                </c:pt>
                <c:pt idx="18">
                  <c:v>1</c:v>
                </c:pt>
                <c:pt idx="19">
                  <c:v>1</c:v>
                </c:pt>
                <c:pt idx="20">
                  <c:v>1</c:v>
                </c:pt>
                <c:pt idx="21">
                  <c:v>1</c:v>
                </c:pt>
                <c:pt idx="22">
                  <c:v>0.9104912003360414</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0.5611632440966505</c:v>
                </c:pt>
                <c:pt idx="3">
                  <c:v>0.625</c:v>
                </c:pt>
                <c:pt idx="4">
                  <c:v>0.5932586500595057</c:v>
                </c:pt>
                <c:pt idx="5">
                  <c:v>0.6207031722104113</c:v>
                </c:pt>
                <c:pt idx="6">
                  <c:v>0.6944444645656099</c:v>
                </c:pt>
                <c:pt idx="7">
                  <c:v>0.6287240278343598</c:v>
                </c:pt>
                <c:pt idx="8">
                  <c:v>0.5348339985487806</c:v>
                </c:pt>
                <c:pt idx="9">
                  <c:v>0.7123871020614438</c:v>
                </c:pt>
                <c:pt idx="10">
                  <c:v>0.6229065559155228</c:v>
                </c:pt>
                <c:pt idx="11">
                  <c:v>0.5991731470819237</c:v>
                </c:pt>
                <c:pt idx="12">
                  <c:v>0.5699445144222615</c:v>
                </c:pt>
                <c:pt idx="13">
                  <c:v>0</c:v>
                </c:pt>
                <c:pt idx="14">
                  <c:v>0.5547892715739108</c:v>
                </c:pt>
                <c:pt idx="15">
                  <c:v>0.5636683853028314</c:v>
                </c:pt>
                <c:pt idx="16">
                  <c:v>0.6642246231132807</c:v>
                </c:pt>
                <c:pt idx="17">
                  <c:v>0.5588802086952356</c:v>
                </c:pt>
                <c:pt idx="18">
                  <c:v>0.6938400406774639</c:v>
                </c:pt>
                <c:pt idx="19">
                  <c:v>0.5653890743661988</c:v>
                </c:pt>
                <c:pt idx="20">
                  <c:v>0.6219150952383946</c:v>
                </c:pt>
                <c:pt idx="21">
                  <c:v>0.6508219365896362</c:v>
                </c:pt>
                <c:pt idx="22">
                  <c:v>0.5896786866837018</c:v>
                </c:pt>
                <c:pt idx="23">
                  <c:v>0.6745012365396832</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0.3557053104051021</c:v>
                </c:pt>
                <c:pt idx="3">
                  <c:v>0.3333333436813615</c:v>
                </c:pt>
                <c:pt idx="4">
                  <c:v>0.3890191555912137</c:v>
                </c:pt>
                <c:pt idx="5">
                  <c:v>0.3412557171559176</c:v>
                </c:pt>
                <c:pt idx="6">
                  <c:v>0.30555558717452996</c:v>
                </c:pt>
                <c:pt idx="7">
                  <c:v>0.37353062451007085</c:v>
                </c:pt>
                <c:pt idx="8">
                  <c:v>0.3581682691792399</c:v>
                </c:pt>
                <c:pt idx="9">
                  <c:v>0.3760470270067235</c:v>
                </c:pt>
                <c:pt idx="10">
                  <c:v>0.43543755754835156</c:v>
                </c:pt>
                <c:pt idx="11">
                  <c:v>0.44203961401525127</c:v>
                </c:pt>
                <c:pt idx="12">
                  <c:v>0.3631392968313328</c:v>
                </c:pt>
                <c:pt idx="13">
                  <c:v>0</c:v>
                </c:pt>
                <c:pt idx="14">
                  <c:v>0.4588149595878829</c:v>
                </c:pt>
                <c:pt idx="15">
                  <c:v>0.4037532428866247</c:v>
                </c:pt>
                <c:pt idx="16">
                  <c:v>0.3703724102499544</c:v>
                </c:pt>
                <c:pt idx="17">
                  <c:v>0.4178308736630127</c:v>
                </c:pt>
                <c:pt idx="18">
                  <c:v>0.3953293044754524</c:v>
                </c:pt>
                <c:pt idx="19">
                  <c:v>0.3813538047977087</c:v>
                </c:pt>
                <c:pt idx="20">
                  <c:v>0.46170981051943333</c:v>
                </c:pt>
                <c:pt idx="21">
                  <c:v>0.35784488483542515</c:v>
                </c:pt>
                <c:pt idx="22">
                  <c:v>0.3550737811204342</c:v>
                </c:pt>
                <c:pt idx="23">
                  <c:v>0.38789661032538575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0.16666668736272305</c:v>
                </c:pt>
                <c:pt idx="4">
                  <c:v>0</c:v>
                </c:pt>
                <c:pt idx="5">
                  <c:v>0.12601346565054772</c:v>
                </c:pt>
                <c:pt idx="6">
                  <c:v>0.11111117434905989</c:v>
                </c:pt>
                <c:pt idx="7">
                  <c:v>0</c:v>
                </c:pt>
                <c:pt idx="8">
                  <c:v>0</c:v>
                </c:pt>
                <c:pt idx="9">
                  <c:v>0</c:v>
                </c:pt>
                <c:pt idx="10">
                  <c:v>0</c:v>
                </c:pt>
                <c:pt idx="11">
                  <c:v>0</c:v>
                </c:pt>
                <c:pt idx="12">
                  <c:v>0</c:v>
                </c:pt>
                <c:pt idx="13">
                  <c:v>0</c:v>
                </c:pt>
                <c:pt idx="14">
                  <c:v>0.3237876075114705</c:v>
                </c:pt>
                <c:pt idx="15">
                  <c:v>0</c:v>
                </c:pt>
                <c:pt idx="16">
                  <c:v>0.14965919668298192</c:v>
                </c:pt>
                <c:pt idx="17">
                  <c:v>0.15925935707212177</c:v>
                </c:pt>
                <c:pt idx="18">
                  <c:v>0.03776729511742284</c:v>
                </c:pt>
                <c:pt idx="19">
                  <c:v>0.25682387789787564</c:v>
                </c:pt>
                <c:pt idx="20">
                  <c:v>0.07481812892957819</c:v>
                </c:pt>
                <c:pt idx="21">
                  <c:v>0.07565285513867696</c:v>
                </c:pt>
                <c:pt idx="22">
                  <c:v>0</c:v>
                </c:pt>
                <c:pt idx="23">
                  <c:v>0.1310685215764785</c:v>
                </c:pt>
                <c:pt idx="24">
                  <c:v>0</c:v>
                </c:pt>
                <c:pt idx="25">
                  <c:v>0</c:v>
                </c:pt>
                <c:pt idx="26">
                  <c:v>0</c:v>
                </c:pt>
              </c:numCache>
            </c:numRef>
          </c:val>
        </c:ser>
        <c:overlap val="100"/>
        <c:gapWidth val="100"/>
        <c:axId val="51017103"/>
        <c:axId val="5650074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0.44250026454723773</c:v>
                </c:pt>
                <c:pt idx="3">
                  <c:v>0.4587887787285127</c:v>
                </c:pt>
                <c:pt idx="4">
                  <c:v>0.3755946052515087</c:v>
                </c:pt>
                <c:pt idx="5">
                  <c:v>0.3268094743358575</c:v>
                </c:pt>
                <c:pt idx="6">
                  <c:v>0.5522625900529505</c:v>
                </c:pt>
                <c:pt idx="7">
                  <c:v>0.4957467877252425</c:v>
                </c:pt>
                <c:pt idx="8">
                  <c:v>0.5155484268996149</c:v>
                </c:pt>
                <c:pt idx="9">
                  <c:v>0.4418815014493389</c:v>
                </c:pt>
                <c:pt idx="10">
                  <c:v>0.7072064125825719</c:v>
                </c:pt>
                <c:pt idx="11">
                  <c:v>0.5756068451752095</c:v>
                </c:pt>
                <c:pt idx="12">
                  <c:v>0.3545244272452165</c:v>
                </c:pt>
                <c:pt idx="13">
                  <c:v>0.5</c:v>
                </c:pt>
                <c:pt idx="14">
                  <c:v>0.5204298120980918</c:v>
                </c:pt>
                <c:pt idx="15">
                  <c:v>0.4703816809871466</c:v>
                </c:pt>
                <c:pt idx="16">
                  <c:v>0.3684763793928922</c:v>
                </c:pt>
                <c:pt idx="17">
                  <c:v>0.4111296165021531</c:v>
                </c:pt>
                <c:pt idx="18">
                  <c:v>0.3462518464709436</c:v>
                </c:pt>
                <c:pt idx="19">
                  <c:v>0.5094154711563964</c:v>
                </c:pt>
                <c:pt idx="20">
                  <c:v>0.40363678078735005</c:v>
                </c:pt>
                <c:pt idx="21">
                  <c:v>0.44495385549772726</c:v>
                </c:pt>
                <c:pt idx="22">
                  <c:v>0.5524344757460905</c:v>
                </c:pt>
                <c:pt idx="23">
                  <c:v>0.37014797891326395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0.45833334989017843</c:v>
                </c:pt>
                <c:pt idx="4">
                  <c:v>0.5595471445004646</c:v>
                </c:pt>
                <c:pt idx="5">
                  <c:v>0.3217546748289382</c:v>
                </c:pt>
                <c:pt idx="6">
                  <c:v>0.5555555708246458</c:v>
                </c:pt>
                <c:pt idx="7">
                  <c:v>-999</c:v>
                </c:pt>
                <c:pt idx="8">
                  <c:v>-999</c:v>
                </c:pt>
                <c:pt idx="9">
                  <c:v>-999</c:v>
                </c:pt>
                <c:pt idx="10">
                  <c:v>0.5275538137610148</c:v>
                </c:pt>
                <c:pt idx="11">
                  <c:v>0.5000000631523751</c:v>
                </c:pt>
                <c:pt idx="12">
                  <c:v>-999</c:v>
                </c:pt>
                <c:pt idx="13">
                  <c:v>0.5579474959196462</c:v>
                </c:pt>
                <c:pt idx="14">
                  <c:v>0.5064014602617742</c:v>
                </c:pt>
                <c:pt idx="15">
                  <c:v>0.5443113084682816</c:v>
                </c:pt>
                <c:pt idx="16">
                  <c:v>-999</c:v>
                </c:pt>
                <c:pt idx="17">
                  <c:v>0.4401368823371633</c:v>
                </c:pt>
                <c:pt idx="18">
                  <c:v>0.501524882384645</c:v>
                </c:pt>
                <c:pt idx="19">
                  <c:v>0.4389639331722226</c:v>
                </c:pt>
                <c:pt idx="20">
                  <c:v>0.42648906074152876</c:v>
                </c:pt>
                <c:pt idx="21">
                  <c:v>0.47323585453155176</c:v>
                </c:pt>
                <c:pt idx="22">
                  <c:v>0.32412296785255323</c:v>
                </c:pt>
                <c:pt idx="23">
                  <c:v>0.5209118054576003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0.33004708539970157</c:v>
                </c:pt>
                <c:pt idx="3">
                  <c:v>-999</c:v>
                </c:pt>
                <c:pt idx="4">
                  <c:v>-999</c:v>
                </c:pt>
                <c:pt idx="5">
                  <c:v>-999</c:v>
                </c:pt>
                <c:pt idx="6">
                  <c:v>-999</c:v>
                </c:pt>
                <c:pt idx="7">
                  <c:v>0.3650681846907726</c:v>
                </c:pt>
                <c:pt idx="8">
                  <c:v>0.3361433882150885</c:v>
                </c:pt>
                <c:pt idx="9">
                  <c:v>0.1847394716557455</c:v>
                </c:pt>
                <c:pt idx="10">
                  <c:v>-999</c:v>
                </c:pt>
                <c:pt idx="11">
                  <c:v>-999</c:v>
                </c:pt>
                <c:pt idx="12">
                  <c:v>0.3932085896823669</c:v>
                </c:pt>
                <c:pt idx="13">
                  <c:v>-999</c:v>
                </c:pt>
                <c:pt idx="14">
                  <c:v>-999</c:v>
                </c:pt>
                <c:pt idx="15">
                  <c:v>-999</c:v>
                </c:pt>
                <c:pt idx="16">
                  <c:v>0.725787598190139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8744649"/>
        <c:axId val="13157522"/>
      </c:scatterChart>
      <c:catAx>
        <c:axId val="51017103"/>
        <c:scaling>
          <c:orientation val="maxMin"/>
        </c:scaling>
        <c:axPos val="l"/>
        <c:delete val="0"/>
        <c:numFmt formatCode="General" sourceLinked="1"/>
        <c:majorTickMark val="out"/>
        <c:minorTickMark val="none"/>
        <c:tickLblPos val="none"/>
        <c:spPr>
          <a:ln w="3175">
            <a:noFill/>
          </a:ln>
        </c:spPr>
        <c:crossAx val="56500744"/>
        <c:crosses val="autoZero"/>
        <c:auto val="1"/>
        <c:lblOffset val="100"/>
        <c:tickLblSkip val="1"/>
        <c:noMultiLvlLbl val="0"/>
      </c:catAx>
      <c:valAx>
        <c:axId val="56500744"/>
        <c:scaling>
          <c:orientation val="minMax"/>
          <c:max val="1"/>
          <c:min val="0"/>
        </c:scaling>
        <c:axPos val="t"/>
        <c:delete val="0"/>
        <c:numFmt formatCode="General" sourceLinked="1"/>
        <c:majorTickMark val="none"/>
        <c:minorTickMark val="none"/>
        <c:tickLblPos val="none"/>
        <c:spPr>
          <a:ln w="3175">
            <a:noFill/>
          </a:ln>
        </c:spPr>
        <c:crossAx val="51017103"/>
        <c:crossesAt val="1"/>
        <c:crossBetween val="between"/>
        <c:dispUnits/>
        <c:majorUnit val="1"/>
      </c:valAx>
      <c:valAx>
        <c:axId val="38744649"/>
        <c:scaling>
          <c:orientation val="minMax"/>
          <c:max val="1"/>
          <c:min val="0"/>
        </c:scaling>
        <c:axPos val="t"/>
        <c:delete val="0"/>
        <c:numFmt formatCode="General" sourceLinked="1"/>
        <c:majorTickMark val="none"/>
        <c:minorTickMark val="none"/>
        <c:tickLblPos val="none"/>
        <c:spPr>
          <a:ln w="3175">
            <a:noFill/>
          </a:ln>
        </c:spPr>
        <c:crossAx val="13157522"/>
        <c:crosses val="max"/>
        <c:crossBetween val="midCat"/>
        <c:dispUnits/>
        <c:majorUnit val="0.1"/>
        <c:minorUnit val="0.020000000000000004"/>
      </c:valAx>
      <c:valAx>
        <c:axId val="13157522"/>
        <c:scaling>
          <c:orientation val="maxMin"/>
          <c:max val="29"/>
          <c:min val="0"/>
        </c:scaling>
        <c:axPos val="l"/>
        <c:delete val="0"/>
        <c:numFmt formatCode="General" sourceLinked="1"/>
        <c:majorTickMark val="none"/>
        <c:minorTickMark val="none"/>
        <c:tickLblPos val="none"/>
        <c:spPr>
          <a:ln w="3175">
            <a:noFill/>
          </a:ln>
        </c:spPr>
        <c:crossAx val="3874464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(B87017) ALMSHOUSE, WAKEFIELD DISTRICT PCT (5N3)</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476</v>
      </c>
      <c r="Q3" s="65"/>
      <c r="R3" s="66"/>
      <c r="S3" s="66"/>
      <c r="T3" s="66"/>
      <c r="U3" s="66"/>
      <c r="V3" s="66"/>
      <c r="W3" s="66"/>
      <c r="X3" s="66"/>
      <c r="Y3" s="66"/>
      <c r="Z3" s="66"/>
      <c r="AA3" s="66"/>
      <c r="AB3" s="66"/>
      <c r="AC3" s="66"/>
    </row>
    <row r="4" spans="2:29" ht="18" customHeight="1">
      <c r="B4" s="319" t="s">
        <v>549</v>
      </c>
      <c r="C4" s="320"/>
      <c r="D4" s="320"/>
      <c r="E4" s="320"/>
      <c r="F4" s="320"/>
      <c r="G4" s="321"/>
      <c r="H4" s="112"/>
      <c r="I4" s="112"/>
      <c r="J4" s="112"/>
      <c r="K4" s="112"/>
      <c r="L4" s="113"/>
      <c r="M4" s="65"/>
      <c r="N4" s="65"/>
      <c r="O4" s="65"/>
      <c r="P4" s="134" t="s">
        <v>477</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478</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373</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548</v>
      </c>
      <c r="C8" s="115"/>
      <c r="D8" s="115"/>
      <c r="E8" s="128">
        <f>VLOOKUP('Hide - Control'!A$3,'All practice data'!A:CA,4,FALSE)</f>
        <v>12464</v>
      </c>
      <c r="F8" s="310" t="str">
        <f>VLOOKUP('Hide - Control'!B4,'Hide - Calculation'!AY:BA,3,FALSE)</f>
        <v>Please note: Bowel screening indicators are based on less than 30 but over 12 months of data.</v>
      </c>
      <c r="G8" s="310"/>
      <c r="H8" s="310"/>
      <c r="I8" s="115"/>
      <c r="J8" s="115"/>
      <c r="K8" s="115"/>
      <c r="L8" s="115"/>
      <c r="M8" s="109"/>
      <c r="N8" s="314" t="s">
        <v>486</v>
      </c>
      <c r="O8" s="314"/>
      <c r="P8" s="314"/>
      <c r="Q8" s="314" t="s">
        <v>32</v>
      </c>
      <c r="R8" s="314"/>
      <c r="S8" s="314"/>
      <c r="T8" s="314" t="s">
        <v>552</v>
      </c>
      <c r="U8" s="314"/>
      <c r="V8" s="314" t="s">
        <v>33</v>
      </c>
      <c r="W8" s="314"/>
      <c r="X8" s="314"/>
      <c r="Y8" s="135"/>
      <c r="Z8" s="314" t="s">
        <v>479</v>
      </c>
      <c r="AA8" s="314"/>
      <c r="AB8" s="161"/>
      <c r="AC8" s="109"/>
    </row>
    <row r="9" spans="2:29" s="61" customFormat="1" ht="19.5" customHeight="1" thickBot="1">
      <c r="B9" s="114" t="s">
        <v>471</v>
      </c>
      <c r="C9" s="114"/>
      <c r="D9" s="114"/>
      <c r="E9" s="129">
        <f>VLOOKUP('Hide - Control'!B4,'Hide - Calculation'!AY:BB,4,FALSE)</f>
        <v>350958</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468</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449</v>
      </c>
      <c r="E11" s="317"/>
      <c r="F11" s="318"/>
      <c r="G11" s="263" t="s">
        <v>447</v>
      </c>
      <c r="H11" s="255" t="s">
        <v>448</v>
      </c>
      <c r="I11" s="255" t="s">
        <v>459</v>
      </c>
      <c r="J11" s="255" t="s">
        <v>460</v>
      </c>
      <c r="K11" s="255" t="s">
        <v>331</v>
      </c>
      <c r="L11" s="256" t="s">
        <v>373</v>
      </c>
      <c r="M11" s="257" t="s">
        <v>469</v>
      </c>
      <c r="N11" s="334" t="s">
        <v>467</v>
      </c>
      <c r="O11" s="334"/>
      <c r="P11" s="334"/>
      <c r="Q11" s="334"/>
      <c r="R11" s="334"/>
      <c r="S11" s="334"/>
      <c r="T11" s="334"/>
      <c r="U11" s="334"/>
      <c r="V11" s="334"/>
      <c r="W11" s="334"/>
      <c r="X11" s="334"/>
      <c r="Y11" s="334"/>
      <c r="Z11" s="334"/>
      <c r="AA11" s="258" t="s">
        <v>470</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329</v>
      </c>
      <c r="C13" s="163">
        <v>1</v>
      </c>
      <c r="D13" s="312" t="s">
        <v>325</v>
      </c>
      <c r="E13" s="313"/>
      <c r="F13" s="313"/>
      <c r="G13" s="166">
        <f>IF(VLOOKUP('Hide - Control'!A$3,'All practice data'!A:CA,C13+4,FALSE)=" "," ",VLOOKUP('Hide - Control'!A$3,'All practice data'!A:CA,C13+4,FALSE))</f>
        <v>1800</v>
      </c>
      <c r="H13" s="190">
        <f>IF(VLOOKUP('Hide - Control'!A$3,'All practice data'!A:CA,C13+30,FALSE)=" "," ",VLOOKUP('Hide - Control'!A$3,'All practice data'!A:CA,C13+30,FALSE))</f>
        <v>0.14441591784338895</v>
      </c>
      <c r="I13" s="191">
        <f>IF(LEFT(G13,1)=" "," n/a",+((2*G13+1.96^2-1.96*SQRT(1.96^2+4*G13*(1-G13/E$8)))/(2*(E$8+1.96^2))))</f>
        <v>0.13835430696583748</v>
      </c>
      <c r="J13" s="191">
        <f>IF(LEFT(G13,1)=" "," n/a",+((2*G13+1.96^2+1.96*SQRT(1.96^2+4*G13*(1-G13/E$8)))/(2*(E$8+1.96^2))))</f>
        <v>0.15069665434891008</v>
      </c>
      <c r="K13" s="190">
        <f>IF('Hide - Calculation'!N7="","",'Hide - Calculation'!N7)</f>
        <v>0.1631676724850267</v>
      </c>
      <c r="L13" s="192">
        <f>'Hide - Calculation'!O7</f>
        <v>0.1599882305185145</v>
      </c>
      <c r="M13" s="208">
        <f>IF(ISBLANK('Hide - Calculation'!K7),"",'Hide - Calculation'!U7)</f>
        <v>0.09871159493923187</v>
      </c>
      <c r="N13" s="173"/>
      <c r="O13" s="173"/>
      <c r="P13" s="173"/>
      <c r="Q13" s="173"/>
      <c r="R13" s="173"/>
      <c r="S13" s="173"/>
      <c r="T13" s="173"/>
      <c r="U13" s="173"/>
      <c r="V13" s="173"/>
      <c r="W13" s="173"/>
      <c r="X13" s="173"/>
      <c r="Y13" s="173"/>
      <c r="Z13" s="173"/>
      <c r="AA13" s="226">
        <f>IF(ISBLANK('Hide - Calculation'!K7),"",'Hide - Calculation'!T7)</f>
        <v>0.1960286647081375</v>
      </c>
      <c r="AB13" s="233" t="s">
        <v>546</v>
      </c>
      <c r="AC13" s="209" t="s">
        <v>547</v>
      </c>
    </row>
    <row r="14" spans="2:29" ht="33.75" customHeight="1">
      <c r="B14" s="306"/>
      <c r="C14" s="137">
        <v>2</v>
      </c>
      <c r="D14" s="132" t="s">
        <v>480</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0.15</v>
      </c>
      <c r="I14" s="120">
        <f>IF(LEFT(G14,1)=" "," n/a",+((2*H14*E8+1.96^2-1.96*SQRT(1.96^2+4*H14*E8*(1-H14*E8/E$8)))/(2*(E$8+1.96^2))))</f>
        <v>0.14383910884847437</v>
      </c>
      <c r="J14" s="120">
        <f>IF(LEFT(G14,1)=" "," n/a",+((2*H14*E8+1.96^2+1.96*SQRT(1.96^2+4*H14*E8*(1-H14*E8/E$8)))/(2*(E$8+1.96^2))))</f>
        <v>0.15637657563696217</v>
      </c>
      <c r="K14" s="119">
        <f>IF('Hide - Calculation'!N8="","",'Hide - Calculation'!N8)</f>
        <v>0.15633528798317742</v>
      </c>
      <c r="L14" s="155">
        <f>'Hide - Calculation'!O8</f>
        <v>0.15010930292554353</v>
      </c>
      <c r="M14" s="150">
        <f>IF(ISBLANK('Hide - Calculation'!K8),"",'Hide - Calculation'!U8)</f>
        <v>0.07999999821186066</v>
      </c>
      <c r="N14" s="84"/>
      <c r="O14" s="84"/>
      <c r="P14" s="84"/>
      <c r="Q14" s="84"/>
      <c r="R14" s="84"/>
      <c r="S14" s="84"/>
      <c r="T14" s="84"/>
      <c r="U14" s="84"/>
      <c r="V14" s="84"/>
      <c r="W14" s="84"/>
      <c r="X14" s="84"/>
      <c r="Y14" s="84"/>
      <c r="Z14" s="84"/>
      <c r="AA14" s="227">
        <f>IF(ISBLANK('Hide - Calculation'!K8),"",'Hide - Calculation'!T8)</f>
        <v>0.2800000011920929</v>
      </c>
      <c r="AB14" s="234" t="s">
        <v>39</v>
      </c>
      <c r="AC14" s="130" t="s">
        <v>547</v>
      </c>
    </row>
    <row r="15" spans="2:39" s="63" customFormat="1" ht="33.75" customHeight="1">
      <c r="B15" s="306"/>
      <c r="C15" s="137">
        <v>3</v>
      </c>
      <c r="D15" s="132" t="s">
        <v>334</v>
      </c>
      <c r="E15" s="85"/>
      <c r="F15" s="85"/>
      <c r="G15" s="121">
        <f>IF(VLOOKUP('Hide - Control'!A$3,'All practice data'!A:CA,C15+4,FALSE)=" "," ",VLOOKUP('Hide - Control'!A$3,'All practice data'!A:CA,C15+4,FALSE))</f>
        <v>73</v>
      </c>
      <c r="H15" s="122">
        <f>IF(VLOOKUP('Hide - Control'!A$3,'All practice data'!A:CA,C15+30,FALSE)=" "," ",VLOOKUP('Hide - Control'!A$3,'All practice data'!A:CA,C15+30,FALSE))</f>
        <v>585.6867779204108</v>
      </c>
      <c r="I15" s="123">
        <f>IF(LEFT(G15,1)=" "," n/a",IF(G15&lt;5,100000*VLOOKUP(G15,'Hide - Calculation'!AQ:AR,2,FALSE)/$E$8,100000*(G15*(1-1/(9*G15)-1.96/(3*SQRT(G15)))^3)/$E$8))</f>
        <v>459.0645888866584</v>
      </c>
      <c r="J15" s="123">
        <f>IF(LEFT(G15,1)=" "," n/a",IF(G15&lt;5,100000*VLOOKUP(G15,'Hide - Calculation'!AQ:AS,3,FALSE)/$E$8,100000*((G15+1)*(1-1/(9*(G15+1))+1.96/(3*SQRT(G15+1)))^3)/$E$8))</f>
        <v>736.4261788760783</v>
      </c>
      <c r="K15" s="122">
        <f>IF('Hide - Calculation'!N9="","",'Hide - Calculation'!N9)</f>
        <v>511.1722770246012</v>
      </c>
      <c r="L15" s="156">
        <f>'Hide - Calculation'!O9</f>
        <v>445.6198871279627</v>
      </c>
      <c r="M15" s="151">
        <f>IF(ISBLANK('Hide - Calculation'!K9),"",'Hide - Calculation'!U9)</f>
        <v>159.63107299804688</v>
      </c>
      <c r="N15" s="84"/>
      <c r="O15" s="84"/>
      <c r="P15" s="84"/>
      <c r="Q15" s="84"/>
      <c r="R15" s="84"/>
      <c r="S15" s="84"/>
      <c r="T15" s="84"/>
      <c r="U15" s="84"/>
      <c r="V15" s="84"/>
      <c r="W15" s="84"/>
      <c r="X15" s="84"/>
      <c r="Y15" s="84"/>
      <c r="Z15" s="84"/>
      <c r="AA15" s="228">
        <f>IF(ISBLANK('Hide - Calculation'!K9),"",'Hide - Calculation'!T9)</f>
        <v>730.8161010742188</v>
      </c>
      <c r="AB15" s="234" t="s">
        <v>450</v>
      </c>
      <c r="AC15" s="131">
        <v>2009</v>
      </c>
      <c r="AD15" s="64"/>
      <c r="AE15" s="64"/>
      <c r="AF15" s="64"/>
      <c r="AG15" s="64"/>
      <c r="AH15" s="64"/>
      <c r="AI15" s="64"/>
      <c r="AJ15" s="64"/>
      <c r="AK15" s="64"/>
      <c r="AL15" s="64"/>
      <c r="AM15" s="64"/>
    </row>
    <row r="16" spans="2:29" s="63" customFormat="1" ht="33.75" customHeight="1">
      <c r="B16" s="306"/>
      <c r="C16" s="137">
        <v>4</v>
      </c>
      <c r="D16" s="132" t="s">
        <v>472</v>
      </c>
      <c r="E16" s="85"/>
      <c r="F16" s="85"/>
      <c r="G16" s="121">
        <f>IF(VLOOKUP('Hide - Control'!A$3,'All practice data'!A:CA,C16+4,FALSE)=" "," ",VLOOKUP('Hide - Control'!A$3,'All practice data'!A:CA,C16+4,FALSE))</f>
        <v>29</v>
      </c>
      <c r="H16" s="122">
        <f>IF(VLOOKUP('Hide - Control'!A$3,'All practice data'!A:CA,C16+30,FALSE)=" "," ",VLOOKUP('Hide - Control'!A$3,'All practice data'!A:CA,C16+30,FALSE))</f>
        <v>232.67008985879332</v>
      </c>
      <c r="I16" s="123">
        <f>IF(LEFT(G16,1)=" "," n/a",IF(G16&lt;5,100000*VLOOKUP(G16,'Hide - Calculation'!AQ:AR,2,FALSE)/$E$8,100000*(G16*(1-1/(9*G16)-1.96/(3*SQRT(G16)))^3)/$E$8))</f>
        <v>155.7893673400746</v>
      </c>
      <c r="J16" s="123">
        <f>IF(LEFT(G16,1)=" "," n/a",IF(G16&lt;5,100000*VLOOKUP(G16,'Hide - Calculation'!AQ:AS,3,FALSE)/$E$8,100000*((G16+1)*(1-1/(9*(G16+1))+1.96/(3*SQRT(G16+1)))^3)/$E$8))</f>
        <v>334.1671477021268</v>
      </c>
      <c r="K16" s="122">
        <f>IF('Hide - Calculation'!N10="","",'Hide - Calculation'!N10)</f>
        <v>276.67128260361636</v>
      </c>
      <c r="L16" s="156">
        <f>'Hide - Calculation'!O10</f>
        <v>234.12259778895606</v>
      </c>
      <c r="M16" s="151">
        <f>IF(ISBLANK('Hide - Calculation'!K10),"",'Hide - Calculation'!U10)</f>
        <v>176.4234161376953</v>
      </c>
      <c r="N16" s="84"/>
      <c r="O16" s="84"/>
      <c r="P16" s="84"/>
      <c r="Q16" s="84"/>
      <c r="R16" s="84"/>
      <c r="S16" s="84"/>
      <c r="T16" s="84"/>
      <c r="U16" s="84"/>
      <c r="V16" s="84"/>
      <c r="W16" s="84"/>
      <c r="X16" s="84"/>
      <c r="Y16" s="84"/>
      <c r="Z16" s="84"/>
      <c r="AA16" s="228">
        <f>IF(ISBLANK('Hide - Calculation'!K10),"",'Hide - Calculation'!T10)</f>
        <v>427.5653991699219</v>
      </c>
      <c r="AB16" s="234" t="s">
        <v>328</v>
      </c>
      <c r="AC16" s="131" t="s">
        <v>504</v>
      </c>
    </row>
    <row r="17" spans="2:29" s="63" customFormat="1" ht="33.75" customHeight="1" thickBot="1">
      <c r="B17" s="309"/>
      <c r="C17" s="180">
        <v>5</v>
      </c>
      <c r="D17" s="195" t="s">
        <v>333</v>
      </c>
      <c r="E17" s="182"/>
      <c r="F17" s="182"/>
      <c r="G17" s="140">
        <f>IF(VLOOKUP('Hide - Control'!A$3,'All practice data'!A:CA,C17+4,FALSE)=" "," ",VLOOKUP('Hide - Control'!A$3,'All practice data'!A:CA,C17+4,FALSE))</f>
        <v>196</v>
      </c>
      <c r="H17" s="141">
        <f>IF(VLOOKUP('Hide - Control'!A$3,'All practice data'!A:CA,C17+30,FALSE)=" "," ",VLOOKUP('Hide - Control'!A$3,'All practice data'!A:CA,C17+30,FALSE))</f>
        <v>0.016</v>
      </c>
      <c r="I17" s="142">
        <f>IF(LEFT(G17,1)=" "," n/a",+((2*G17+1.96^2-1.96*SQRT(1.96^2+4*G17*(1-G17/E$8)))/(2*(E$8+1.96^2))))</f>
        <v>0.013685586694028529</v>
      </c>
      <c r="J17" s="142">
        <f>IF(LEFT(G17,1)=" "," n/a",+((2*G17+1.96^2+1.96*SQRT(1.96^2+4*G17*(1-G17/E$8)))/(2*(E$8+1.96^2))))</f>
        <v>0.018063421089323482</v>
      </c>
      <c r="K17" s="141">
        <f>IF('Hide - Calculation'!N11="","",'Hide - Calculation'!N11)</f>
        <v>0.015645746784515527</v>
      </c>
      <c r="L17" s="157">
        <f>'Hide - Calculation'!O11</f>
        <v>0.015940726342527432</v>
      </c>
      <c r="M17" s="210">
        <f>IF(ISBLANK('Hide - Calculation'!K11),"",'Hide - Calculation'!U11)</f>
        <v>0.00800000037997961</v>
      </c>
      <c r="N17" s="91"/>
      <c r="O17" s="91"/>
      <c r="P17" s="91"/>
      <c r="Q17" s="91"/>
      <c r="R17" s="91"/>
      <c r="S17" s="91"/>
      <c r="T17" s="91"/>
      <c r="U17" s="91"/>
      <c r="V17" s="91"/>
      <c r="W17" s="91"/>
      <c r="X17" s="91"/>
      <c r="Y17" s="91"/>
      <c r="Z17" s="91"/>
      <c r="AA17" s="229">
        <f>IF(ISBLANK('Hide - Calculation'!K11),"",'Hide - Calculation'!T11)</f>
        <v>0.024000000208616257</v>
      </c>
      <c r="AB17" s="235" t="s">
        <v>473</v>
      </c>
      <c r="AC17" s="189" t="s">
        <v>504</v>
      </c>
    </row>
    <row r="18" spans="2:29" s="63" customFormat="1" ht="33.75" customHeight="1">
      <c r="B18" s="308" t="s">
        <v>13</v>
      </c>
      <c r="C18" s="163">
        <v>6</v>
      </c>
      <c r="D18" s="164" t="s">
        <v>481</v>
      </c>
      <c r="E18" s="165"/>
      <c r="F18" s="165"/>
      <c r="G18" s="219">
        <f>IF(OR(VLOOKUP('Hide - Control'!A$3,'All practice data'!A:CA,C18+4,FALSE)=" ",VLOOKUP('Hide - Control'!A$3,'All practice data'!A:CA,C18+52,FALSE)=0)," n/a",VLOOKUP('Hide - Control'!A$3,'All practice data'!A:CA,C18+4,FALSE))</f>
        <v>944</v>
      </c>
      <c r="H18" s="220">
        <f>IF(OR(VLOOKUP('Hide - Control'!A$3,'All practice data'!A:CA,C18+30,FALSE)=" ",VLOOKUP('Hide - Control'!A$3,'All practice data'!A:CA,C18+52,FALSE)=0)," n/a",VLOOKUP('Hide - Control'!A$3,'All practice data'!A:CA,C18+30,FALSE))</f>
        <v>0.687045</v>
      </c>
      <c r="I18" s="191">
        <f>IF(OR(LEFT(H18,1)=" ",VLOOKUP('Hide - Control'!A$3,'All practice data'!A:CA,C18+52,FALSE)=0)," n/a",+((2*G18+1.96^2-1.96*SQRT(1.96^2+4*G18*(1-G18/(VLOOKUP('Hide - Control'!A$3,'All practice data'!A:CA,C18+52,FALSE)))))/(2*(((VLOOKUP('Hide - Control'!A$3,'All practice data'!A:CA,C18+52,FALSE)))+1.96^2))))</f>
        <v>0.6620336390950252</v>
      </c>
      <c r="J18" s="191">
        <f>IF(OR(LEFT(H18,1)=" ",VLOOKUP('Hide - Control'!A$3,'All practice data'!A:CA,C18+52,FALSE)=0)," n/a",+((2*G18+1.96^2+1.96*SQRT(1.96^2+4*G18*(1-G18/(VLOOKUP('Hide - Control'!A$3,'All practice data'!A:CA,C18+52,FALSE)))))/(2*((VLOOKUP('Hide - Control'!A$3,'All practice data'!A:CA,C18+52,FALSE))+1.96^2))))</f>
        <v>0.7110135965233507</v>
      </c>
      <c r="K18" s="220">
        <f>IF('Hide - Calculation'!N12="","",'Hide - Calculation'!N12)</f>
        <v>0.731057319022608</v>
      </c>
      <c r="L18" s="192">
        <f>'Hide - Calculation'!O12</f>
        <v>0.7248631360507991</v>
      </c>
      <c r="M18" s="193">
        <f>IF(ISBLANK('Hide - Calculation'!K12),"",'Hide - Calculation'!U12)</f>
        <v>0.5813949704170227</v>
      </c>
      <c r="N18" s="194"/>
      <c r="O18" s="173"/>
      <c r="P18" s="173"/>
      <c r="Q18" s="173"/>
      <c r="R18" s="173"/>
      <c r="S18" s="173"/>
      <c r="T18" s="173"/>
      <c r="U18" s="173"/>
      <c r="V18" s="173"/>
      <c r="W18" s="173"/>
      <c r="X18" s="173"/>
      <c r="Y18" s="173"/>
      <c r="Z18" s="174"/>
      <c r="AA18" s="193">
        <f>IF(ISBLANK('Hide - Calculation'!K12),"",'Hide - Calculation'!T12)</f>
        <v>0.8469949960708618</v>
      </c>
      <c r="AB18" s="233" t="s">
        <v>48</v>
      </c>
      <c r="AC18" s="175" t="s">
        <v>505</v>
      </c>
    </row>
    <row r="19" spans="2:29" s="63" customFormat="1" ht="33.75" customHeight="1">
      <c r="B19" s="306"/>
      <c r="C19" s="137">
        <v>7</v>
      </c>
      <c r="D19" s="132" t="s">
        <v>482</v>
      </c>
      <c r="E19" s="85"/>
      <c r="F19" s="85"/>
      <c r="G19" s="221">
        <f>IF(OR(VLOOKUP('Hide - Control'!A$3,'All practice data'!A:CA,C19+4,FALSE)=" ",VLOOKUP('Hide - Control'!A$3,'All practice data'!A:CA,C19+52,FALSE)=0)," n/a",VLOOKUP('Hide - Control'!A$3,'All practice data'!A:CA,C19+4,FALSE))</f>
        <v>14</v>
      </c>
      <c r="H19" s="218">
        <f>IF(OR(VLOOKUP('Hide - Control'!A$3,'All practice data'!A:CA,C19+30,FALSE)=" ",VLOOKUP('Hide - Control'!A$3,'All practice data'!A:CA,C19+52,FALSE)=0)," n/a",VLOOKUP('Hide - Control'!A$3,'All practice data'!A:CA,C19+30,FALSE))</f>
        <v>0.518519</v>
      </c>
      <c r="I19" s="120">
        <f>IF(OR(LEFT(H19,1)=" ",VLOOKUP('Hide - Control'!A$3,'All practice data'!A:CA,C19+52,FALSE)=0)," n/a",+((2*G19+1.96^2-1.96*SQRT(1.96^2+4*G19*(1-G19/(VLOOKUP('Hide - Control'!A$3,'All practice data'!A:CA,C19+52,FALSE)))))/(2*(((VLOOKUP('Hide - Control'!A$3,'All practice data'!A:CA,C19+52,FALSE)))+1.96^2))))</f>
        <v>0.3398532458621043</v>
      </c>
      <c r="J19" s="120">
        <f>IF(OR(LEFT(H19,1)=" ",VLOOKUP('Hide - Control'!A$3,'All practice data'!A:CA,C19+52,FALSE)=0)," n/a",+((2*G19+1.96^2+1.96*SQRT(1.96^2+4*G19*(1-G19/(VLOOKUP('Hide - Control'!A$3,'All practice data'!A:CA,C19+52,FALSE)))))/(2*((VLOOKUP('Hide - Control'!A$3,'All practice data'!A:CA,C19+52,FALSE))+1.96^2))))</f>
        <v>0.6925704935029092</v>
      </c>
      <c r="K19" s="218">
        <f>IF('Hide - Calculation'!N13="","",'Hide - Calculation'!N13)</f>
        <v>0.7593998888683089</v>
      </c>
      <c r="L19" s="155">
        <f>'Hide - Calculation'!O13</f>
        <v>0.7467412166569077</v>
      </c>
      <c r="M19" s="152">
        <f>IF(ISBLANK('Hide - Calculation'!K13),"",'Hide - Calculation'!U13)</f>
        <v>0.09090899676084518</v>
      </c>
      <c r="N19" s="160"/>
      <c r="O19" s="84"/>
      <c r="P19" s="84"/>
      <c r="Q19" s="84"/>
      <c r="R19" s="84"/>
      <c r="S19" s="84"/>
      <c r="T19" s="84"/>
      <c r="U19" s="84"/>
      <c r="V19" s="84"/>
      <c r="W19" s="84"/>
      <c r="X19" s="84"/>
      <c r="Y19" s="84"/>
      <c r="Z19" s="88"/>
      <c r="AA19" s="152">
        <f>IF(ISBLANK('Hide - Calculation'!K13),"",'Hide - Calculation'!T13)</f>
        <v>0.8554499745368958</v>
      </c>
      <c r="AB19" s="234" t="s">
        <v>48</v>
      </c>
      <c r="AC19" s="131" t="s">
        <v>504</v>
      </c>
    </row>
    <row r="20" spans="2:29" s="63" customFormat="1" ht="33.75" customHeight="1">
      <c r="B20" s="306"/>
      <c r="C20" s="137">
        <v>8</v>
      </c>
      <c r="D20" s="132" t="s">
        <v>483</v>
      </c>
      <c r="E20" s="85"/>
      <c r="F20" s="85"/>
      <c r="G20" s="221">
        <f>IF(OR(VLOOKUP('Hide - Control'!A$3,'All practice data'!A:CA,C20+4,FALSE)=" ",VLOOKUP('Hide - Control'!A$3,'All practice data'!A:CA,C20+52,FALSE)=0)," n/a",VLOOKUP('Hide - Control'!A$3,'All practice data'!A:CA,C20+4,FALSE))</f>
        <v>2284</v>
      </c>
      <c r="H20" s="218">
        <f>IF(OR(VLOOKUP('Hide - Control'!A$3,'All practice data'!A:CA,C20+30,FALSE)=" ",VLOOKUP('Hide - Control'!A$3,'All practice data'!A:CA,C20+52,FALSE)=0)," n/a",VLOOKUP('Hide - Control'!A$3,'All practice data'!A:CA,C20+30,FALSE))</f>
        <v>0.711083</v>
      </c>
      <c r="I20" s="120">
        <f>IF(OR(LEFT(H20,1)=" ",VLOOKUP('Hide - Control'!A$3,'All practice data'!A:CA,C20+52,FALSE)=0)," n/a",+((2*G20+1.96^2-1.96*SQRT(1.96^2+4*G20*(1-G20/(VLOOKUP('Hide - Control'!A$3,'All practice data'!A:CA,C20+52,FALSE)))))/(2*(((VLOOKUP('Hide - Control'!A$3,'All practice data'!A:CA,C20+52,FALSE)))+1.96^2))))</f>
        <v>0.6951633541981563</v>
      </c>
      <c r="J20" s="120">
        <f>IF(OR(LEFT(H20,1)=" ",VLOOKUP('Hide - Control'!A$3,'All practice data'!A:CA,C20+52,FALSE)=0)," n/a",+((2*G20+1.96^2+1.96*SQRT(1.96^2+4*G20*(1-G20/(VLOOKUP('Hide - Control'!A$3,'All practice data'!A:CA,C20+52,FALSE)))))/(2*((VLOOKUP('Hide - Control'!A$3,'All practice data'!A:CA,C20+52,FALSE))+1.96^2))))</f>
        <v>0.7264992053010427</v>
      </c>
      <c r="K20" s="218">
        <f>IF('Hide - Calculation'!N14="","",'Hide - Calculation'!N14)</f>
        <v>0.7685264597482673</v>
      </c>
      <c r="L20" s="155">
        <f>'Hide - Calculation'!O14</f>
        <v>0.7559681673907895</v>
      </c>
      <c r="M20" s="152">
        <f>IF(ISBLANK('Hide - Calculation'!K14),"",'Hide - Calculation'!U14)</f>
        <v>0.6788359880447388</v>
      </c>
      <c r="N20" s="160"/>
      <c r="O20" s="84"/>
      <c r="P20" s="84"/>
      <c r="Q20" s="84"/>
      <c r="R20" s="84"/>
      <c r="S20" s="84"/>
      <c r="T20" s="84"/>
      <c r="U20" s="84"/>
      <c r="V20" s="84"/>
      <c r="W20" s="84"/>
      <c r="X20" s="84"/>
      <c r="Y20" s="84"/>
      <c r="Z20" s="88"/>
      <c r="AA20" s="152">
        <f>IF(ISBLANK('Hide - Calculation'!K14),"",'Hide - Calculation'!T14)</f>
        <v>0.8471390008926392</v>
      </c>
      <c r="AB20" s="234" t="s">
        <v>48</v>
      </c>
      <c r="AC20" s="131" t="s">
        <v>506</v>
      </c>
    </row>
    <row r="21" spans="2:29" s="63" customFormat="1" ht="33.75" customHeight="1">
      <c r="B21" s="306"/>
      <c r="C21" s="137">
        <v>9</v>
      </c>
      <c r="D21" s="132" t="s">
        <v>484</v>
      </c>
      <c r="E21" s="85"/>
      <c r="F21" s="85"/>
      <c r="G21" s="221">
        <f>IF(OR(VLOOKUP('Hide - Control'!A$3,'All practice data'!A:CA,C21+4,FALSE)=" ",VLOOKUP('Hide - Control'!A$3,'All practice data'!A:CA,C21+52,FALSE)=0)," n/a",VLOOKUP('Hide - Control'!A$3,'All practice data'!A:CA,C21+4,FALSE))</f>
        <v>546</v>
      </c>
      <c r="H21" s="218">
        <f>IF(OR(VLOOKUP('Hide - Control'!A$3,'All practice data'!A:CA,C21+30,FALSE)=" ",VLOOKUP('Hide - Control'!A$3,'All practice data'!A:CA,C21+52,FALSE)=0)," n/a",VLOOKUP('Hide - Control'!A$3,'All practice data'!A:CA,C21+30,FALSE))</f>
        <v>0.45614</v>
      </c>
      <c r="I21" s="120">
        <f>IF(OR(LEFT(H21,1)=" ",VLOOKUP('Hide - Control'!A$3,'All practice data'!A:CA,C21+52,FALSE)=0)," n/a",+((2*G21+1.96^2-1.96*SQRT(1.96^2+4*G21*(1-G21/(VLOOKUP('Hide - Control'!A$3,'All practice data'!A:CA,C21+52,FALSE)))))/(2*(((VLOOKUP('Hide - Control'!A$3,'All practice data'!A:CA,C21+52,FALSE)))+1.96^2))))</f>
        <v>0.42810907819755445</v>
      </c>
      <c r="J21" s="120">
        <f>IF(OR(LEFT(H21,1)=" ",VLOOKUP('Hide - Control'!A$3,'All practice data'!A:CA,C21+52,FALSE)=0)," n/a",+((2*G21+1.96^2+1.96*SQRT(1.96^2+4*G21*(1-G21/(VLOOKUP('Hide - Control'!A$3,'All practice data'!A:CA,C21+52,FALSE)))))/(2*((VLOOKUP('Hide - Control'!A$3,'All practice data'!A:CA,C21+52,FALSE))+1.96^2))))</f>
        <v>0.48445224546078647</v>
      </c>
      <c r="K21" s="218">
        <f>IF('Hide - Calculation'!N15="","",'Hide - Calculation'!N15)</f>
        <v>0.4576050808891556</v>
      </c>
      <c r="L21" s="155">
        <f>'Hide - Calculation'!O15</f>
        <v>0.5147293797466616</v>
      </c>
      <c r="M21" s="152">
        <f>IF(ISBLANK('Hide - Calculation'!K15),"",'Hide - Calculation'!U15)</f>
        <v>0.2840909957885742</v>
      </c>
      <c r="N21" s="160"/>
      <c r="O21" s="84"/>
      <c r="P21" s="84"/>
      <c r="Q21" s="84"/>
      <c r="R21" s="84"/>
      <c r="S21" s="84"/>
      <c r="T21" s="84"/>
      <c r="U21" s="84"/>
      <c r="V21" s="84"/>
      <c r="W21" s="84"/>
      <c r="X21" s="84"/>
      <c r="Y21" s="84"/>
      <c r="Z21" s="88"/>
      <c r="AA21" s="152">
        <f>IF(ISBLANK('Hide - Calculation'!K15),"",'Hide - Calculation'!T15)</f>
        <v>0.5594350099563599</v>
      </c>
      <c r="AB21" s="234" t="s">
        <v>48</v>
      </c>
      <c r="AC21" s="131" t="s">
        <v>505</v>
      </c>
    </row>
    <row r="22" spans="2:29" s="63" customFormat="1" ht="33.75" customHeight="1" thickBot="1">
      <c r="B22" s="309"/>
      <c r="C22" s="180">
        <v>10</v>
      </c>
      <c r="D22" s="195" t="s">
        <v>485</v>
      </c>
      <c r="E22" s="182"/>
      <c r="F22" s="182"/>
      <c r="G22" s="222">
        <f>IF(OR(VLOOKUP('Hide - Control'!A$3,'All practice data'!A:CA,C22+4,FALSE)=" ",VLOOKUP('Hide - Control'!A$3,'All practice data'!A:CA,C22+52,FALSE)=0)," n/a",VLOOKUP('Hide - Control'!A$3,'All practice data'!A:CA,C22+4,FALSE))</f>
        <v>356</v>
      </c>
      <c r="H22" s="223">
        <f>IF(OR(VLOOKUP('Hide - Control'!A$3,'All practice data'!A:CA,C22+30,FALSE)=" ",VLOOKUP('Hide - Control'!A$3,'All practice data'!A:CA,C22+52,FALSE)=0)," n/a",VLOOKUP('Hide - Control'!A$3,'All practice data'!A:CA,C22+30,FALSE))</f>
        <v>0.543511</v>
      </c>
      <c r="I22" s="196">
        <f>IF(OR(LEFT(H22,1)=" ",VLOOKUP('Hide - Control'!A$3,'All practice data'!A:CA,C22+52,FALSE)=0)," n/a",+((2*G22+1.96^2-1.96*SQRT(1.96^2+4*G22*(1-G22/(VLOOKUP('Hide - Control'!A$3,'All practice data'!A:CA,C22+52,FALSE)))))/(2*(((VLOOKUP('Hide - Control'!A$3,'All practice data'!A:CA,C22+52,FALSE)))+1.96^2))))</f>
        <v>0.5052217700398557</v>
      </c>
      <c r="J22" s="196">
        <f>IF(OR(LEFT(H22,1)=" ",VLOOKUP('Hide - Control'!A$3,'All practice data'!A:CA,C22+52,FALSE)=0)," n/a",+((2*G22+1.96^2+1.96*SQRT(1.96^2+4*G22*(1-G22/(VLOOKUP('Hide - Control'!A$3,'All practice data'!A:CA,C22+52,FALSE)))))/(2*((VLOOKUP('Hide - Control'!A$3,'All practice data'!A:CA,C22+52,FALSE))+1.96^2))))</f>
        <v>0.5812937141068648</v>
      </c>
      <c r="K22" s="223">
        <f>IF('Hide - Calculation'!N16="","",'Hide - Calculation'!N16)</f>
        <v>0.5515060664261957</v>
      </c>
      <c r="L22" s="197">
        <f>'Hide - Calculation'!O16</f>
        <v>0.5752927626212945</v>
      </c>
      <c r="M22" s="198">
        <f>IF(ISBLANK('Hide - Calculation'!K16),"",'Hide - Calculation'!U16)</f>
        <v>0.33333298563957214</v>
      </c>
      <c r="N22" s="199"/>
      <c r="O22" s="91"/>
      <c r="P22" s="91"/>
      <c r="Q22" s="91"/>
      <c r="R22" s="91"/>
      <c r="S22" s="91"/>
      <c r="T22" s="91"/>
      <c r="U22" s="91"/>
      <c r="V22" s="91"/>
      <c r="W22" s="91"/>
      <c r="X22" s="91"/>
      <c r="Y22" s="91"/>
      <c r="Z22" s="188"/>
      <c r="AA22" s="198">
        <f>IF(ISBLANK('Hide - Calculation'!K16),"",'Hide - Calculation'!T16)</f>
        <v>0.6707320213317871</v>
      </c>
      <c r="AB22" s="235" t="s">
        <v>48</v>
      </c>
      <c r="AC22" s="189" t="s">
        <v>504</v>
      </c>
    </row>
    <row r="23" spans="2:29" s="63" customFormat="1" ht="33.75" customHeight="1">
      <c r="B23" s="308" t="s">
        <v>323</v>
      </c>
      <c r="C23" s="163">
        <v>11</v>
      </c>
      <c r="D23" s="179" t="s">
        <v>335</v>
      </c>
      <c r="E23" s="165"/>
      <c r="F23" s="165"/>
      <c r="G23" s="118">
        <f>IF(VLOOKUP('Hide - Control'!A$3,'All practice data'!A:CA,C23+4,FALSE)=" "," ",VLOOKUP('Hide - Control'!A$3,'All practice data'!A:CA,C23+4,FALSE))</f>
        <v>243</v>
      </c>
      <c r="H23" s="216">
        <f>IF(VLOOKUP('Hide - Control'!A$3,'All practice data'!A:CA,C23+30,FALSE)=" "," ",VLOOKUP('Hide - Control'!A$3,'All practice data'!A:CA,C23+30,FALSE))</f>
        <v>1949.614890885751</v>
      </c>
      <c r="I23" s="215">
        <f>IF(LEFT(G23,1)=" "," n/a",IF(G23&lt;5,100000*VLOOKUP(G23,'Hide - Calculation'!AQ:AR,2,FALSE)/$E$8,100000*(G23*(1-1/(9*G23)-1.96/(3*SQRT(G23)))^3)/$E$8))</f>
        <v>1712.1585005806762</v>
      </c>
      <c r="J23" s="215">
        <f>IF(LEFT(G23,1)=" "," n/a",IF(G23&lt;5,100000*VLOOKUP(G23,'Hide - Calculation'!AQ:AS,3,FALSE)/$E$8,100000*((G23+1)*(1-1/(9*(G23+1))+1.96/(3*SQRT(G23+1)))^3)/$E$8))</f>
        <v>2210.790461086183</v>
      </c>
      <c r="K23" s="216">
        <f>IF('Hide - Calculation'!N17="","",'Hide - Calculation'!N17)</f>
        <v>2225.337504772651</v>
      </c>
      <c r="L23" s="217">
        <f>'Hide - Calculation'!O17</f>
        <v>1812.1669120472948</v>
      </c>
      <c r="M23" s="170">
        <f>IF(ISBLANK('Hide - Calculation'!K17),"",'Hide - Calculation'!U17)</f>
        <v>552.5127563476562</v>
      </c>
      <c r="N23" s="171"/>
      <c r="O23" s="172"/>
      <c r="P23" s="172"/>
      <c r="Q23" s="172"/>
      <c r="R23" s="173"/>
      <c r="S23" s="173"/>
      <c r="T23" s="173"/>
      <c r="U23" s="173"/>
      <c r="V23" s="173"/>
      <c r="W23" s="173"/>
      <c r="X23" s="173"/>
      <c r="Y23" s="173"/>
      <c r="Z23" s="174"/>
      <c r="AA23" s="170">
        <f>IF(ISBLANK('Hide - Calculation'!K17),"",'Hide - Calculation'!T17)</f>
        <v>3497.819091796875</v>
      </c>
      <c r="AB23" s="233" t="s">
        <v>26</v>
      </c>
      <c r="AC23" s="175" t="s">
        <v>504</v>
      </c>
    </row>
    <row r="24" spans="2:29" s="63" customFormat="1" ht="33.75" customHeight="1">
      <c r="B24" s="306"/>
      <c r="C24" s="137">
        <v>12</v>
      </c>
      <c r="D24" s="147" t="s">
        <v>491</v>
      </c>
      <c r="E24" s="85"/>
      <c r="F24" s="85"/>
      <c r="G24" s="118">
        <f>IF(VLOOKUP('Hide - Control'!A$3,'All practice data'!A:CA,C24+4,FALSE)=" "," ",VLOOKUP('Hide - Control'!A$3,'All practice data'!A:CA,C24+4,FALSE))</f>
        <v>243</v>
      </c>
      <c r="H24" s="119">
        <f>IF(VLOOKUP('Hide - Control'!A$3,'All practice data'!A:CA,C24+30,FALSE)=" "," ",VLOOKUP('Hide - Control'!A$3,'All practice data'!A:CA,C24+30,FALSE))</f>
        <v>1.095225372</v>
      </c>
      <c r="I24" s="212">
        <f>IF(LEFT(VLOOKUP('Hide - Control'!A$3,'All practice data'!A:CA,C24+44,FALSE),1)=" "," n/a",VLOOKUP('Hide - Control'!A$3,'All practice data'!A:CA,C24+44,FALSE))</f>
        <v>0.96183815</v>
      </c>
      <c r="J24" s="212">
        <f>IF(LEFT(VLOOKUP('Hide - Control'!A$3,'All practice data'!A:CA,C24+45,FALSE),1)=" "," n/a",VLOOKUP('Hide - Control'!A$3,'All practice data'!A:CA,C24+45,FALSE))</f>
        <v>1.241938248</v>
      </c>
      <c r="K24" s="152" t="s">
        <v>551</v>
      </c>
      <c r="L24" s="213">
        <v>1</v>
      </c>
      <c r="M24" s="152">
        <f>IF(ISBLANK('Hide - Calculation'!K18),"",'Hide - Calculation'!U18)</f>
        <v>0.318853497505188</v>
      </c>
      <c r="N24" s="86"/>
      <c r="O24" s="87"/>
      <c r="P24" s="87"/>
      <c r="Q24" s="87"/>
      <c r="R24" s="84"/>
      <c r="S24" s="84"/>
      <c r="T24" s="84"/>
      <c r="U24" s="84"/>
      <c r="V24" s="84"/>
      <c r="W24" s="84"/>
      <c r="X24" s="84"/>
      <c r="Y24" s="84"/>
      <c r="Z24" s="88"/>
      <c r="AA24" s="152">
        <f>IF(ISBLANK('Hide - Calculation'!K18),"",'Hide - Calculation'!T18)</f>
        <v>1.8216521739959717</v>
      </c>
      <c r="AB24" s="234" t="s">
        <v>26</v>
      </c>
      <c r="AC24" s="131" t="s">
        <v>504</v>
      </c>
    </row>
    <row r="25" spans="2:29" s="63" customFormat="1" ht="33.75" customHeight="1">
      <c r="B25" s="306"/>
      <c r="C25" s="137">
        <v>13</v>
      </c>
      <c r="D25" s="147" t="s">
        <v>330</v>
      </c>
      <c r="E25" s="85"/>
      <c r="F25" s="85"/>
      <c r="G25" s="118">
        <f>IF(VLOOKUP('Hide - Control'!A$3,'All practice data'!A:CA,C25+4,FALSE)=" "," ",VLOOKUP('Hide - Control'!A$3,'All practice data'!A:CA,C25+4,FALSE))</f>
        <v>25</v>
      </c>
      <c r="H25" s="119">
        <f>IF(VLOOKUP('Hide - Control'!A$3,'All practice data'!A:CA,C25+30,FALSE)=" "," ",VLOOKUP('Hide - Control'!A$3,'All practice data'!A:CA,C25+30,FALSE))</f>
        <v>0.102880658436214</v>
      </c>
      <c r="I25" s="120">
        <f>IF(LEFT(G25,1)=" "," n/a",IF(G25=0," n/a",+((2*G25+1.96^2-1.96*SQRT(1.96^2+4*G25*(1-G25/G23)))/(2*(G23+1.96^2)))))</f>
        <v>0.07066045010133103</v>
      </c>
      <c r="J25" s="120">
        <f>IF(LEFT(G25,1)=" "," n/a",IF(G25=0," n/a",+((2*G25+1.96^2+1.96*SQRT(1.96^2+4*G25*(1-G25/G23)))/(2*(G23+1.96^2)))))</f>
        <v>0.14746161684362477</v>
      </c>
      <c r="K25" s="125">
        <f>IF('Hide - Calculation'!N19="","",'Hide - Calculation'!N19)</f>
        <v>0.10230473751600512</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0.32499998807907104</v>
      </c>
      <c r="AB25" s="234" t="s">
        <v>26</v>
      </c>
      <c r="AC25" s="131" t="s">
        <v>504</v>
      </c>
    </row>
    <row r="26" spans="2:29" s="63" customFormat="1" ht="33.75" customHeight="1">
      <c r="B26" s="306"/>
      <c r="C26" s="137">
        <v>14</v>
      </c>
      <c r="D26" s="147" t="s">
        <v>474</v>
      </c>
      <c r="E26" s="85"/>
      <c r="F26" s="85"/>
      <c r="G26" s="121">
        <f>IF(VLOOKUP('Hide - Control'!A$3,'All practice data'!A:CA,C26+4,FALSE)=" "," ",VLOOKUP('Hide - Control'!A$3,'All practice data'!A:CA,C26+4,FALSE))</f>
        <v>49</v>
      </c>
      <c r="H26" s="119">
        <f>IF(VLOOKUP('Hide - Control'!A$3,'All practice data'!A:CA,C26+30,FALSE)=" "," ",VLOOKUP('Hide - Control'!A$3,'All practice data'!A:CA,C26+30,FALSE))</f>
        <v>0.5102040816326531</v>
      </c>
      <c r="I26" s="120">
        <f>IF(OR(LEFT(G26,1)=" ",LEFT(G25,1)=" ")," n/a",IF(G26=0," n/a",+((2*G25+1.96^2-1.96*SQRT(1.96^2+4*G25*(1-G25/G26)))/(2*(G26+1.96^2)))))</f>
        <v>0.37467331533409215</v>
      </c>
      <c r="J26" s="120">
        <f>IF(OR(LEFT(G26,1)=" ",LEFT(G25,1)=" ")," n/a",IF(G26=0," n/a",+((2*G25+1.96^2+1.96*SQRT(1.96^2+4*G25*(1-G25/G26)))/(2*(G26+1.96^2)))))</f>
        <v>0.6442511684059914</v>
      </c>
      <c r="K26" s="125">
        <f>IF('Hide - Calculation'!N20="","",'Hide - Calculation'!N20)</f>
        <v>0.45761741122565863</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0.7027027010917664</v>
      </c>
      <c r="AB26" s="234" t="s">
        <v>26</v>
      </c>
      <c r="AC26" s="131" t="s">
        <v>504</v>
      </c>
    </row>
    <row r="27" spans="2:29" s="63" customFormat="1" ht="33.75" customHeight="1">
      <c r="B27" s="306"/>
      <c r="C27" s="137">
        <v>15</v>
      </c>
      <c r="D27" s="147" t="s">
        <v>461</v>
      </c>
      <c r="E27" s="85"/>
      <c r="F27" s="85"/>
      <c r="G27" s="121">
        <f>IF(VLOOKUP('Hide - Control'!A$3,'All practice data'!A:CA,C27+4,FALSE)=" "," ",VLOOKUP('Hide - Control'!A$3,'All practice data'!A:CA,C27+4,FALSE))</f>
        <v>78</v>
      </c>
      <c r="H27" s="122">
        <f>IF(VLOOKUP('Hide - Control'!A$3,'All practice data'!A:CA,C27+30,FALSE)=" "," ",VLOOKUP('Hide - Control'!A$3,'All practice data'!A:CA,C27+30,FALSE))</f>
        <v>625.8023106546855</v>
      </c>
      <c r="I27" s="123">
        <f>IF(LEFT(G27,1)=" "," n/a",IF(G27&lt;5,100000*VLOOKUP(G27,'Hide - Calculation'!AQ:AR,2,FALSE)/$E$8,100000*(G27*(1-1/(9*G27)-1.96/(3*SQRT(G27)))^3)/$E$8))</f>
        <v>494.6510351047159</v>
      </c>
      <c r="J27" s="123">
        <f>IF(LEFT(G27,1)=" "," n/a",IF(G27&lt;5,100000*VLOOKUP(G27,'Hide - Calculation'!AQ:AS,3,FALSE)/$E$8,100000*((G27+1)*(1-1/(9*(G27+1))+1.96/(3*SQRT(G27+1)))^3)/$E$8))</f>
        <v>781.0424805888033</v>
      </c>
      <c r="K27" s="122">
        <f>IF('Hide - Calculation'!N21="","",'Hide - Calculation'!N21)</f>
        <v>472.99107015654295</v>
      </c>
      <c r="L27" s="156">
        <f>'Hide - Calculation'!O21</f>
        <v>377.7293140102421</v>
      </c>
      <c r="M27" s="148">
        <f>IF(ISBLANK('Hide - Calculation'!K21),"",'Hide - Calculation'!U21)</f>
        <v>225.80955505371094</v>
      </c>
      <c r="N27" s="86"/>
      <c r="O27" s="87"/>
      <c r="P27" s="87"/>
      <c r="Q27" s="87"/>
      <c r="R27" s="84"/>
      <c r="S27" s="84"/>
      <c r="T27" s="84"/>
      <c r="U27" s="84"/>
      <c r="V27" s="84"/>
      <c r="W27" s="84"/>
      <c r="X27" s="84"/>
      <c r="Y27" s="84"/>
      <c r="Z27" s="88"/>
      <c r="AA27" s="148">
        <f>IF(ISBLANK('Hide - Calculation'!K21),"",'Hide - Calculation'!T21)</f>
        <v>816.1817016601562</v>
      </c>
      <c r="AB27" s="234" t="s">
        <v>26</v>
      </c>
      <c r="AC27" s="131" t="s">
        <v>504</v>
      </c>
    </row>
    <row r="28" spans="2:29" s="63" customFormat="1" ht="33.75" customHeight="1">
      <c r="B28" s="306"/>
      <c r="C28" s="137">
        <v>16</v>
      </c>
      <c r="D28" s="147" t="s">
        <v>462</v>
      </c>
      <c r="E28" s="85"/>
      <c r="F28" s="85"/>
      <c r="G28" s="121">
        <f>IF(VLOOKUP('Hide - Control'!A$3,'All practice data'!A:CA,C28+4,FALSE)=" "," ",VLOOKUP('Hide - Control'!A$3,'All practice data'!A:CA,C28+4,FALSE))</f>
        <v>39</v>
      </c>
      <c r="H28" s="122">
        <f>IF(VLOOKUP('Hide - Control'!A$3,'All practice data'!A:CA,C28+30,FALSE)=" "," ",VLOOKUP('Hide - Control'!A$3,'All practice data'!A:CA,C28+30,FALSE))</f>
        <v>312.90115532734274</v>
      </c>
      <c r="I28" s="123">
        <f>IF(LEFT(G28,1)=" "," n/a",IF(G28&lt;5,100000*VLOOKUP(G28,'Hide - Calculation'!AQ:AR,2,FALSE)/$E$8,100000*(G28*(1-1/(9*G28)-1.96/(3*SQRT(G28)))^3)/$E$8))</f>
        <v>222.4750849668295</v>
      </c>
      <c r="J28" s="123">
        <f>IF(LEFT(G28,1)=" "," n/a",IF(G28&lt;5,100000*VLOOKUP(G28,'Hide - Calculation'!AQ:AS,3,FALSE)/$E$8,100000*((G28+1)*(1-1/(9*(G28+1))+1.96/(3*SQRT(G28+1)))^3)/$E$8))</f>
        <v>427.76009480366014</v>
      </c>
      <c r="K28" s="122">
        <f>IF('Hide - Calculation'!N22="","",'Hide - Calculation'!N22)</f>
        <v>372.4092341533745</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900.5763549804688</v>
      </c>
      <c r="AB28" s="234" t="s">
        <v>26</v>
      </c>
      <c r="AC28" s="131" t="s">
        <v>504</v>
      </c>
    </row>
    <row r="29" spans="2:29" s="63" customFormat="1" ht="33.75" customHeight="1">
      <c r="B29" s="306"/>
      <c r="C29" s="137">
        <v>17</v>
      </c>
      <c r="D29" s="147" t="s">
        <v>463</v>
      </c>
      <c r="E29" s="85"/>
      <c r="F29" s="85"/>
      <c r="G29" s="121">
        <f>IF(VLOOKUP('Hide - Control'!A$3,'All practice data'!A:CA,C29+4,FALSE)=" "," ",VLOOKUP('Hide - Control'!A$3,'All practice data'!A:CA,C29+4,FALSE))</f>
        <v>13</v>
      </c>
      <c r="H29" s="122">
        <f>IF(VLOOKUP('Hide - Control'!A$3,'All practice data'!A:CA,C29+30,FALSE)=" "," ",VLOOKUP('Hide - Control'!A$3,'All practice data'!A:CA,C29+30,FALSE))</f>
        <v>104.30038510911425</v>
      </c>
      <c r="I29" s="123">
        <f>IF(LEFT(G29,1)=" "," n/a",IF(G29&lt;5,100000*VLOOKUP(G29,'Hide - Calculation'!AQ:AR,2,FALSE)/$E$8,100000*(G29*(1-1/(9*G29)-1.96/(3*SQRT(G29)))^3)/$E$8))</f>
        <v>55.48103091515186</v>
      </c>
      <c r="J29" s="123">
        <f>IF(LEFT(G29,1)=" "," n/a",IF(G29&lt;5,100000*VLOOKUP(G29,'Hide - Calculation'!AQ:AS,3,FALSE)/$E$8,100000*((G29+1)*(1-1/(9*(G29+1))+1.96/(3*SQRT(G29+1)))^3)/$E$8))</f>
        <v>178.36898613007364</v>
      </c>
      <c r="K29" s="122">
        <f>IF('Hide - Calculation'!N23="","",'Hide - Calculation'!N23)</f>
        <v>112.83401432650061</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212.91696166992188</v>
      </c>
      <c r="AB29" s="234" t="s">
        <v>26</v>
      </c>
      <c r="AC29" s="131" t="s">
        <v>504</v>
      </c>
    </row>
    <row r="30" spans="2:29" s="63" customFormat="1" ht="33.75" customHeight="1" thickBot="1">
      <c r="B30" s="309"/>
      <c r="C30" s="180">
        <v>18</v>
      </c>
      <c r="D30" s="181" t="s">
        <v>464</v>
      </c>
      <c r="E30" s="182"/>
      <c r="F30" s="182"/>
      <c r="G30" s="183">
        <f>IF(VLOOKUP('Hide - Control'!A$3,'All practice data'!A:CA,C30+4,FALSE)=" "," ",VLOOKUP('Hide - Control'!A$3,'All practice data'!A:CA,C30+4,FALSE))</f>
        <v>30</v>
      </c>
      <c r="H30" s="184">
        <f>IF(VLOOKUP('Hide - Control'!A$3,'All practice data'!A:CA,C30+30,FALSE)=" "," ",VLOOKUP('Hide - Control'!A$3,'All practice data'!A:CA,C30+30,FALSE))</f>
        <v>240.69319640564828</v>
      </c>
      <c r="I30" s="185">
        <f>IF(LEFT(G30,1)=" "," n/a",IF(G30&lt;5,100000*VLOOKUP(G30,'Hide - Calculation'!AQ:AR,2,FALSE)/$E$8,100000*(G30*(1-1/(9*G30)-1.96/(3*SQRT(G30)))^3)/$E$8))</f>
        <v>162.36190120181982</v>
      </c>
      <c r="J30" s="185">
        <f>IF(LEFT(G30,1)=" "," n/a",IF(G30&lt;5,100000*VLOOKUP(G30,'Hide - Calculation'!AQ:AS,3,FALSE)/$E$8,100000*((G30+1)*(1-1/(9*(G30+1))+1.96/(3*SQRT(G30+1)))^3)/$E$8))</f>
        <v>343.61858700920055</v>
      </c>
      <c r="K30" s="184">
        <f>IF('Hide - Calculation'!N24="","",'Hide - Calculation'!N24)</f>
        <v>333.37322414647906</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897.97314453125</v>
      </c>
      <c r="AB30" s="235" t="s">
        <v>26</v>
      </c>
      <c r="AC30" s="189" t="s">
        <v>504</v>
      </c>
    </row>
    <row r="31" spans="2:29" s="63" customFormat="1" ht="33.75" customHeight="1">
      <c r="B31" s="304" t="s">
        <v>332</v>
      </c>
      <c r="C31" s="163">
        <v>19</v>
      </c>
      <c r="D31" s="164" t="s">
        <v>336</v>
      </c>
      <c r="E31" s="165"/>
      <c r="F31" s="165"/>
      <c r="G31" s="166">
        <f>IF(VLOOKUP('Hide - Control'!A$3,'All practice data'!A:CA,C31+4,FALSE)=" "," ",VLOOKUP('Hide - Control'!A$3,'All practice data'!A:CA,C31+4,FALSE))</f>
        <v>73</v>
      </c>
      <c r="H31" s="167">
        <f>IF(VLOOKUP('Hide - Control'!A$3,'All practice data'!A:CA,C31+30,FALSE)=" "," ",VLOOKUP('Hide - Control'!A$3,'All practice data'!A:CA,C31+30,FALSE))</f>
        <v>585.6867779204108</v>
      </c>
      <c r="I31" s="168">
        <f>IF(LEFT(G31,1)=" "," n/a",IF(G31&lt;5,100000*VLOOKUP(G31,'Hide - Calculation'!AQ:AR,2,FALSE)/$E$8,100000*(G31*(1-1/(9*G31)-1.96/(3*SQRT(G31)))^3)/$E$8))</f>
        <v>459.0645888866584</v>
      </c>
      <c r="J31" s="168">
        <f>IF(LEFT(G31,1)=" "," n/a",IF(G31&lt;5,100000*VLOOKUP(G31,'Hide - Calculation'!AQ:AS,3,FALSE)/$E$8,100000*((G31+1)*(1-1/(9*(G31+1))+1.96/(3*SQRT(G31+1)))^3)/$E$8))</f>
        <v>736.4261788760783</v>
      </c>
      <c r="K31" s="167">
        <f>IF('Hide - Calculation'!N25="","",'Hide - Calculation'!N25)</f>
        <v>669.3108577094695</v>
      </c>
      <c r="L31" s="169">
        <f>'Hide - Calculation'!O25</f>
        <v>562.6134400960308</v>
      </c>
      <c r="M31" s="170">
        <f>IF(ISBLANK('Hide - Calculation'!K25),"",'Hide - Calculation'!U25)</f>
        <v>230.614013671875</v>
      </c>
      <c r="N31" s="171"/>
      <c r="O31" s="172"/>
      <c r="P31" s="172"/>
      <c r="Q31" s="172"/>
      <c r="R31" s="173"/>
      <c r="S31" s="173"/>
      <c r="T31" s="173"/>
      <c r="U31" s="173"/>
      <c r="V31" s="173"/>
      <c r="W31" s="173"/>
      <c r="X31" s="173"/>
      <c r="Y31" s="173"/>
      <c r="Z31" s="174"/>
      <c r="AA31" s="170">
        <f>IF(ISBLANK('Hide - Calculation'!K25),"",'Hide - Calculation'!T25)</f>
        <v>1164.7454833984375</v>
      </c>
      <c r="AB31" s="233" t="s">
        <v>47</v>
      </c>
      <c r="AC31" s="175" t="s">
        <v>504</v>
      </c>
    </row>
    <row r="32" spans="2:29" s="63" customFormat="1" ht="33.75" customHeight="1">
      <c r="B32" s="305"/>
      <c r="C32" s="137">
        <v>20</v>
      </c>
      <c r="D32" s="132" t="s">
        <v>337</v>
      </c>
      <c r="E32" s="85"/>
      <c r="F32" s="85"/>
      <c r="G32" s="121">
        <f>IF(VLOOKUP('Hide - Control'!A$3,'All practice data'!A:CA,C32+4,FALSE)=" "," ",VLOOKUP('Hide - Control'!A$3,'All practice data'!A:CA,C32+4,FALSE))</f>
        <v>53</v>
      </c>
      <c r="H32" s="122">
        <f>IF(VLOOKUP('Hide - Control'!A$3,'All practice data'!A:CA,C32+30,FALSE)=" "," ",VLOOKUP('Hide - Control'!A$3,'All practice data'!A:CA,C32+30,FALSE))</f>
        <v>425.2246469833119</v>
      </c>
      <c r="I32" s="123">
        <f>IF(LEFT(G32,1)=" "," n/a",IF(G32&lt;5,100000*VLOOKUP(G32,'Hide - Calculation'!AQ:AR,2,FALSE)/$E$8,100000*(G32*(1-1/(9*G32)-1.96/(3*SQRT(G32)))^3)/$E$8))</f>
        <v>318.49853862112167</v>
      </c>
      <c r="J32" s="123">
        <f>IF(LEFT(G32,1)=" "," n/a",IF(G32&lt;5,100000*VLOOKUP(G32,'Hide - Calculation'!AQ:AS,3,FALSE)/$E$8,100000*((G32+1)*(1-1/(9*(G32+1))+1.96/(3*SQRT(G32+1)))^3)/$E$8))</f>
        <v>556.2178213528141</v>
      </c>
      <c r="K32" s="122">
        <f>IF('Hide - Calculation'!N26="","",'Hide - Calculation'!N26)</f>
        <v>459.59915431476134</v>
      </c>
      <c r="L32" s="156">
        <f>'Hide - Calculation'!O26</f>
        <v>405.57105879375996</v>
      </c>
      <c r="M32" s="148">
        <f>IF(ISBLANK('Hide - Calculation'!K26),"",'Hide - Calculation'!U26)</f>
        <v>148.93821716308594</v>
      </c>
      <c r="N32" s="86"/>
      <c r="O32" s="87"/>
      <c r="P32" s="87"/>
      <c r="Q32" s="87"/>
      <c r="R32" s="84"/>
      <c r="S32" s="84"/>
      <c r="T32" s="84"/>
      <c r="U32" s="84"/>
      <c r="V32" s="84"/>
      <c r="W32" s="84"/>
      <c r="X32" s="84"/>
      <c r="Y32" s="84"/>
      <c r="Z32" s="88"/>
      <c r="AA32" s="148">
        <f>IF(ISBLANK('Hide - Calculation'!K26),"",'Hide - Calculation'!T26)</f>
        <v>791.281005859375</v>
      </c>
      <c r="AB32" s="234" t="s">
        <v>47</v>
      </c>
      <c r="AC32" s="131" t="s">
        <v>504</v>
      </c>
    </row>
    <row r="33" spans="2:29" s="63" customFormat="1" ht="33.75" customHeight="1">
      <c r="B33" s="305"/>
      <c r="C33" s="137">
        <v>21</v>
      </c>
      <c r="D33" s="132" t="s">
        <v>339</v>
      </c>
      <c r="E33" s="85"/>
      <c r="F33" s="85"/>
      <c r="G33" s="121">
        <f>IF(VLOOKUP('Hide - Control'!A$3,'All practice data'!A:CA,C33+4,FALSE)=" "," ",VLOOKUP('Hide - Control'!A$3,'All practice data'!A:CA,C33+4,FALSE))</f>
        <v>99</v>
      </c>
      <c r="H33" s="122">
        <f>IF(VLOOKUP('Hide - Control'!A$3,'All practice data'!A:CA,C33+30,FALSE)=" "," ",VLOOKUP('Hide - Control'!A$3,'All practice data'!A:CA,C33+30,FALSE))</f>
        <v>794.2875481386393</v>
      </c>
      <c r="I33" s="123">
        <f>IF(LEFT(G33,1)=" "," n/a",IF(G33&lt;5,100000*VLOOKUP(G33,'Hide - Calculation'!AQ:AR,2,FALSE)/$E$8,100000*(G33*(1-1/(9*G33)-1.96/(3*SQRT(G33)))^3)/$E$8))</f>
        <v>645.5400013806578</v>
      </c>
      <c r="J33" s="123">
        <f>IF(LEFT(G33,1)=" "," n/a",IF(G33&lt;5,100000*VLOOKUP(G33,'Hide - Calculation'!AQ:AS,3,FALSE)/$E$8,100000*((G33+1)*(1-1/(9*(G33+1))+1.96/(3*SQRT(G33+1)))^3)/$E$8))</f>
        <v>967.0290695661665</v>
      </c>
      <c r="K33" s="122">
        <f>IF('Hide - Calculation'!N27="","",'Hide - Calculation'!N27)</f>
        <v>955.954843599519</v>
      </c>
      <c r="L33" s="156">
        <f>'Hide - Calculation'!O27</f>
        <v>1059.3522061277838</v>
      </c>
      <c r="M33" s="148">
        <f>IF(ISBLANK('Hide - Calculation'!K27),"",'Hide - Calculation'!U27)</f>
        <v>417.9878845214844</v>
      </c>
      <c r="N33" s="86"/>
      <c r="O33" s="87"/>
      <c r="P33" s="87"/>
      <c r="Q33" s="87"/>
      <c r="R33" s="84"/>
      <c r="S33" s="84"/>
      <c r="T33" s="84"/>
      <c r="U33" s="84"/>
      <c r="V33" s="84"/>
      <c r="W33" s="84"/>
      <c r="X33" s="84"/>
      <c r="Y33" s="84"/>
      <c r="Z33" s="88"/>
      <c r="AA33" s="148">
        <f>IF(ISBLANK('Hide - Calculation'!K27),"",'Hide - Calculation'!T27)</f>
        <v>1475.0482177734375</v>
      </c>
      <c r="AB33" s="234" t="s">
        <v>47</v>
      </c>
      <c r="AC33" s="131" t="s">
        <v>504</v>
      </c>
    </row>
    <row r="34" spans="2:29" s="63" customFormat="1" ht="33.75" customHeight="1">
      <c r="B34" s="305"/>
      <c r="C34" s="137">
        <v>22</v>
      </c>
      <c r="D34" s="132" t="s">
        <v>338</v>
      </c>
      <c r="E34" s="85"/>
      <c r="F34" s="85"/>
      <c r="G34" s="118">
        <f>IF(VLOOKUP('Hide - Control'!A$3,'All practice data'!A:CA,C34+4,FALSE)=" "," ",VLOOKUP('Hide - Control'!A$3,'All practice data'!A:CA,C34+4,FALSE))</f>
        <v>86</v>
      </c>
      <c r="H34" s="122">
        <f>IF(VLOOKUP('Hide - Control'!A$3,'All practice data'!A:CA,C34+30,FALSE)=" "," ",VLOOKUP('Hide - Control'!A$3,'All practice data'!A:CA,C34+30,FALSE))</f>
        <v>689.987163029525</v>
      </c>
      <c r="I34" s="123">
        <f>IF(LEFT(G34,1)=" "," n/a",IF(G34&lt;5,100000*VLOOKUP(G34,'Hide - Calculation'!AQ:AR,2,FALSE)/$E$8,100000*(G34*(1-1/(9*G34)-1.96/(3*SQRT(G34)))^3)/$E$8))</f>
        <v>551.8818124555866</v>
      </c>
      <c r="J34" s="123">
        <f>IF(LEFT(G34,1)=" "," n/a",IF(G34&lt;5,100000*VLOOKUP(G34,'Hide - Calculation'!AQ:AS,3,FALSE)/$E$8,100000*((G34+1)*(1-1/(9*(G34+1))+1.96/(3*SQRT(G34+1)))^3)/$E$8))</f>
        <v>852.141243608351</v>
      </c>
      <c r="K34" s="122">
        <f>IF('Hide - Calculation'!N28="","",'Hide - Calculation'!N28)</f>
        <v>692.1056080784596</v>
      </c>
      <c r="L34" s="156">
        <f>'Hide - Calculation'!O28</f>
        <v>582.9390489900089</v>
      </c>
      <c r="M34" s="148">
        <f>IF(ISBLANK('Hide - Calculation'!K28),"",'Hide - Calculation'!U28)</f>
        <v>413.1834411621094</v>
      </c>
      <c r="N34" s="86"/>
      <c r="O34" s="87"/>
      <c r="P34" s="87"/>
      <c r="Q34" s="87"/>
      <c r="R34" s="84"/>
      <c r="S34" s="84"/>
      <c r="T34" s="84"/>
      <c r="U34" s="84"/>
      <c r="V34" s="84"/>
      <c r="W34" s="84"/>
      <c r="X34" s="84"/>
      <c r="Y34" s="84"/>
      <c r="Z34" s="88"/>
      <c r="AA34" s="148">
        <f>IF(ISBLANK('Hide - Calculation'!K28),"",'Hide - Calculation'!T28)</f>
        <v>1030.158203125</v>
      </c>
      <c r="AB34" s="234" t="s">
        <v>47</v>
      </c>
      <c r="AC34" s="131" t="s">
        <v>504</v>
      </c>
    </row>
    <row r="35" spans="2:29" s="63" customFormat="1" ht="33.75" customHeight="1">
      <c r="B35" s="305"/>
      <c r="C35" s="137">
        <v>23</v>
      </c>
      <c r="D35" s="138" t="s">
        <v>465</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324</v>
      </c>
      <c r="AC35" s="131">
        <v>2008</v>
      </c>
    </row>
    <row r="36" spans="2:29" ht="33.75" customHeight="1">
      <c r="B36" s="306"/>
      <c r="C36" s="137">
        <v>24</v>
      </c>
      <c r="D36" s="224" t="s">
        <v>466</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324</v>
      </c>
      <c r="AC36" s="131">
        <v>2008</v>
      </c>
    </row>
    <row r="37" spans="2:29" ht="33.75" customHeight="1" thickBot="1">
      <c r="B37" s="307"/>
      <c r="C37" s="176">
        <v>25</v>
      </c>
      <c r="D37" s="177" t="s">
        <v>340</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324</v>
      </c>
      <c r="AC37" s="149">
        <v>2008</v>
      </c>
    </row>
    <row r="38" spans="2:29" ht="16.5" customHeight="1">
      <c r="B38" s="69"/>
      <c r="C38" s="69"/>
      <c r="D38" s="65" t="s">
        <v>322</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550</v>
      </c>
      <c r="C39" s="244"/>
      <c r="D39" s="244"/>
      <c r="E39" s="303" t="s">
        <v>554</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490</v>
      </c>
      <c r="BE2" s="341"/>
      <c r="BF2" s="341"/>
      <c r="BG2" s="341"/>
      <c r="BH2" s="341"/>
      <c r="BI2" s="341"/>
      <c r="BJ2" s="342"/>
    </row>
    <row r="3" spans="1:82" s="72" customFormat="1" ht="76.5" customHeight="1">
      <c r="A3" s="266" t="s">
        <v>276</v>
      </c>
      <c r="B3" s="275" t="s">
        <v>277</v>
      </c>
      <c r="C3" s="276" t="s">
        <v>49</v>
      </c>
      <c r="D3" s="274" t="s">
        <v>475</v>
      </c>
      <c r="E3" s="267" t="s">
        <v>347</v>
      </c>
      <c r="F3" s="267" t="s">
        <v>458</v>
      </c>
      <c r="G3" s="267" t="s">
        <v>349</v>
      </c>
      <c r="H3" s="267" t="s">
        <v>350</v>
      </c>
      <c r="I3" s="267" t="s">
        <v>351</v>
      </c>
      <c r="J3" s="267" t="s">
        <v>499</v>
      </c>
      <c r="K3" s="267" t="s">
        <v>500</v>
      </c>
      <c r="L3" s="267" t="s">
        <v>501</v>
      </c>
      <c r="M3" s="267" t="s">
        <v>352</v>
      </c>
      <c r="N3" s="267" t="s">
        <v>353</v>
      </c>
      <c r="O3" s="267" t="s">
        <v>354</v>
      </c>
      <c r="P3" s="267" t="s">
        <v>489</v>
      </c>
      <c r="Q3" s="267" t="s">
        <v>355</v>
      </c>
      <c r="R3" s="267" t="s">
        <v>356</v>
      </c>
      <c r="S3" s="267" t="s">
        <v>357</v>
      </c>
      <c r="T3" s="267" t="s">
        <v>358</v>
      </c>
      <c r="U3" s="267" t="s">
        <v>359</v>
      </c>
      <c r="V3" s="267" t="s">
        <v>360</v>
      </c>
      <c r="W3" s="267" t="s">
        <v>361</v>
      </c>
      <c r="X3" s="267" t="s">
        <v>362</v>
      </c>
      <c r="Y3" s="267" t="s">
        <v>363</v>
      </c>
      <c r="Z3" s="267" t="s">
        <v>364</v>
      </c>
      <c r="AA3" s="267" t="s">
        <v>365</v>
      </c>
      <c r="AB3" s="267" t="s">
        <v>366</v>
      </c>
      <c r="AC3" s="267" t="s">
        <v>367</v>
      </c>
      <c r="AD3" s="268" t="s">
        <v>368</v>
      </c>
      <c r="AE3" s="268" t="s">
        <v>347</v>
      </c>
      <c r="AF3" s="269" t="s">
        <v>348</v>
      </c>
      <c r="AG3" s="268" t="s">
        <v>349</v>
      </c>
      <c r="AH3" s="268" t="s">
        <v>350</v>
      </c>
      <c r="AI3" s="268" t="s">
        <v>351</v>
      </c>
      <c r="AJ3" s="268" t="s">
        <v>499</v>
      </c>
      <c r="AK3" s="268" t="s">
        <v>500</v>
      </c>
      <c r="AL3" s="268" t="s">
        <v>501</v>
      </c>
      <c r="AM3" s="268" t="s">
        <v>352</v>
      </c>
      <c r="AN3" s="268" t="s">
        <v>353</v>
      </c>
      <c r="AO3" s="268" t="s">
        <v>354</v>
      </c>
      <c r="AP3" s="268" t="s">
        <v>489</v>
      </c>
      <c r="AQ3" s="268" t="s">
        <v>355</v>
      </c>
      <c r="AR3" s="268" t="s">
        <v>356</v>
      </c>
      <c r="AS3" s="268" t="s">
        <v>357</v>
      </c>
      <c r="AT3" s="268" t="s">
        <v>358</v>
      </c>
      <c r="AU3" s="268" t="s">
        <v>359</v>
      </c>
      <c r="AV3" s="268" t="s">
        <v>360</v>
      </c>
      <c r="AW3" s="268" t="s">
        <v>361</v>
      </c>
      <c r="AX3" s="268" t="s">
        <v>362</v>
      </c>
      <c r="AY3" s="270" t="s">
        <v>363</v>
      </c>
      <c r="AZ3" s="271" t="s">
        <v>364</v>
      </c>
      <c r="BA3" s="271" t="s">
        <v>365</v>
      </c>
      <c r="BB3" s="271" t="s">
        <v>366</v>
      </c>
      <c r="BC3" s="272" t="s">
        <v>367</v>
      </c>
      <c r="BD3" s="273" t="s">
        <v>487</v>
      </c>
      <c r="BE3" s="273" t="s">
        <v>488</v>
      </c>
      <c r="BF3" s="273" t="s">
        <v>495</v>
      </c>
      <c r="BG3" s="273" t="s">
        <v>496</v>
      </c>
      <c r="BH3" s="273" t="s">
        <v>494</v>
      </c>
      <c r="BI3" s="273" t="s">
        <v>497</v>
      </c>
      <c r="BJ3" s="273" t="s">
        <v>498</v>
      </c>
      <c r="BK3" s="73"/>
      <c r="BL3" s="73"/>
      <c r="BM3" s="73"/>
      <c r="BN3" s="73"/>
      <c r="BO3" s="73"/>
      <c r="BP3" s="73"/>
      <c r="BQ3" s="73"/>
      <c r="BR3" s="73"/>
      <c r="BS3" s="73"/>
      <c r="BT3" s="73"/>
      <c r="BU3" s="73"/>
      <c r="BV3" s="73"/>
      <c r="BW3" s="73"/>
      <c r="BX3" s="73"/>
      <c r="BY3" s="73"/>
      <c r="BZ3" s="73"/>
      <c r="CA3" s="73"/>
      <c r="CB3" s="73"/>
      <c r="CC3" s="73"/>
      <c r="CD3" s="73"/>
    </row>
    <row r="4" spans="1:66" ht="12.75">
      <c r="A4" s="79" t="s">
        <v>521</v>
      </c>
      <c r="B4" s="79" t="s">
        <v>296</v>
      </c>
      <c r="C4" s="79" t="s">
        <v>167</v>
      </c>
      <c r="D4" s="99">
        <v>12464</v>
      </c>
      <c r="E4" s="99">
        <v>1800</v>
      </c>
      <c r="F4" s="99" t="s">
        <v>345</v>
      </c>
      <c r="G4" s="99">
        <v>73</v>
      </c>
      <c r="H4" s="99">
        <v>29</v>
      </c>
      <c r="I4" s="99">
        <v>196</v>
      </c>
      <c r="J4" s="99">
        <v>944</v>
      </c>
      <c r="K4" s="99">
        <v>14</v>
      </c>
      <c r="L4" s="99">
        <v>2284</v>
      </c>
      <c r="M4" s="99">
        <v>546</v>
      </c>
      <c r="N4" s="99">
        <v>356</v>
      </c>
      <c r="O4" s="99">
        <v>243</v>
      </c>
      <c r="P4" s="159">
        <v>243</v>
      </c>
      <c r="Q4" s="99">
        <v>25</v>
      </c>
      <c r="R4" s="99">
        <v>49</v>
      </c>
      <c r="S4" s="99">
        <v>78</v>
      </c>
      <c r="T4" s="99">
        <v>39</v>
      </c>
      <c r="U4" s="99">
        <v>13</v>
      </c>
      <c r="V4" s="99">
        <v>30</v>
      </c>
      <c r="W4" s="99">
        <v>73</v>
      </c>
      <c r="X4" s="99">
        <v>53</v>
      </c>
      <c r="Y4" s="99">
        <v>99</v>
      </c>
      <c r="Z4" s="99">
        <v>86</v>
      </c>
      <c r="AA4" s="99" t="s">
        <v>553</v>
      </c>
      <c r="AB4" s="99" t="s">
        <v>553</v>
      </c>
      <c r="AC4" s="99" t="s">
        <v>553</v>
      </c>
      <c r="AD4" s="98" t="s">
        <v>322</v>
      </c>
      <c r="AE4" s="100">
        <v>0.14441591784338895</v>
      </c>
      <c r="AF4" s="100">
        <v>0.15</v>
      </c>
      <c r="AG4" s="98">
        <v>585.6867779204108</v>
      </c>
      <c r="AH4" s="98">
        <v>232.67008985879332</v>
      </c>
      <c r="AI4" s="100">
        <v>0.016</v>
      </c>
      <c r="AJ4" s="100">
        <v>0.687045</v>
      </c>
      <c r="AK4" s="100">
        <v>0.518519</v>
      </c>
      <c r="AL4" s="100">
        <v>0.711083</v>
      </c>
      <c r="AM4" s="100">
        <v>0.45614</v>
      </c>
      <c r="AN4" s="100">
        <v>0.543511</v>
      </c>
      <c r="AO4" s="98">
        <v>1949.614890885751</v>
      </c>
      <c r="AP4" s="158">
        <v>1.095225372</v>
      </c>
      <c r="AQ4" s="100">
        <v>0.102880658436214</v>
      </c>
      <c r="AR4" s="100">
        <v>0.5102040816326531</v>
      </c>
      <c r="AS4" s="98">
        <v>625.8023106546855</v>
      </c>
      <c r="AT4" s="98">
        <v>312.90115532734274</v>
      </c>
      <c r="AU4" s="98">
        <v>104.30038510911425</v>
      </c>
      <c r="AV4" s="98">
        <v>240.69319640564828</v>
      </c>
      <c r="AW4" s="98">
        <v>585.6867779204108</v>
      </c>
      <c r="AX4" s="98">
        <v>425.2246469833119</v>
      </c>
      <c r="AY4" s="98">
        <v>794.2875481386393</v>
      </c>
      <c r="AZ4" s="98">
        <v>689.987163029525</v>
      </c>
      <c r="BA4" s="101" t="s">
        <v>553</v>
      </c>
      <c r="BB4" s="101" t="s">
        <v>553</v>
      </c>
      <c r="BC4" s="101" t="s">
        <v>553</v>
      </c>
      <c r="BD4" s="158">
        <v>0.96183815</v>
      </c>
      <c r="BE4" s="158">
        <v>1.241938248</v>
      </c>
      <c r="BF4" s="162">
        <v>1374</v>
      </c>
      <c r="BG4" s="162">
        <v>27</v>
      </c>
      <c r="BH4" s="162">
        <v>3212</v>
      </c>
      <c r="BI4" s="162">
        <v>1197</v>
      </c>
      <c r="BJ4" s="162">
        <v>655</v>
      </c>
      <c r="BK4" s="97"/>
      <c r="BL4" s="97"/>
      <c r="BM4" s="97"/>
      <c r="BN4" s="97"/>
    </row>
    <row r="5" spans="1:66" ht="12.75">
      <c r="A5" s="79" t="s">
        <v>542</v>
      </c>
      <c r="B5" s="79" t="s">
        <v>317</v>
      </c>
      <c r="C5" s="79" t="s">
        <v>167</v>
      </c>
      <c r="D5" s="99">
        <v>2818</v>
      </c>
      <c r="E5" s="99">
        <v>475</v>
      </c>
      <c r="F5" s="99" t="s">
        <v>345</v>
      </c>
      <c r="G5" s="99">
        <v>19</v>
      </c>
      <c r="H5" s="99">
        <v>8</v>
      </c>
      <c r="I5" s="99">
        <v>51</v>
      </c>
      <c r="J5" s="99">
        <v>287</v>
      </c>
      <c r="K5" s="99" t="s">
        <v>553</v>
      </c>
      <c r="L5" s="99">
        <v>570</v>
      </c>
      <c r="M5" s="99">
        <v>160</v>
      </c>
      <c r="N5" s="99">
        <v>95</v>
      </c>
      <c r="O5" s="99">
        <v>60</v>
      </c>
      <c r="P5" s="159">
        <v>60</v>
      </c>
      <c r="Q5" s="99">
        <v>7</v>
      </c>
      <c r="R5" s="99">
        <v>17</v>
      </c>
      <c r="S5" s="99">
        <v>23</v>
      </c>
      <c r="T5" s="99">
        <v>7</v>
      </c>
      <c r="U5" s="99">
        <v>6</v>
      </c>
      <c r="V5" s="99">
        <v>9</v>
      </c>
      <c r="W5" s="99">
        <v>19</v>
      </c>
      <c r="X5" s="99">
        <v>9</v>
      </c>
      <c r="Y5" s="99">
        <v>25</v>
      </c>
      <c r="Z5" s="99">
        <v>16</v>
      </c>
      <c r="AA5" s="99" t="s">
        <v>553</v>
      </c>
      <c r="AB5" s="99" t="s">
        <v>553</v>
      </c>
      <c r="AC5" s="99" t="s">
        <v>553</v>
      </c>
      <c r="AD5" s="98" t="s">
        <v>322</v>
      </c>
      <c r="AE5" s="100">
        <v>0.16855926188786374</v>
      </c>
      <c r="AF5" s="100">
        <v>0.17</v>
      </c>
      <c r="AG5" s="98">
        <v>674.2370475514549</v>
      </c>
      <c r="AH5" s="98">
        <v>283.88928317956</v>
      </c>
      <c r="AI5" s="100">
        <v>0.018000000000000002</v>
      </c>
      <c r="AJ5" s="100">
        <v>0.683333</v>
      </c>
      <c r="AK5" s="100" t="s">
        <v>553</v>
      </c>
      <c r="AL5" s="100">
        <v>0.813124</v>
      </c>
      <c r="AM5" s="100">
        <v>0.43956</v>
      </c>
      <c r="AN5" s="100">
        <v>0.542857</v>
      </c>
      <c r="AO5" s="98">
        <v>2129.1696238467</v>
      </c>
      <c r="AP5" s="158">
        <v>1.05094902</v>
      </c>
      <c r="AQ5" s="100">
        <v>0.11666666666666667</v>
      </c>
      <c r="AR5" s="100">
        <v>0.4117647058823529</v>
      </c>
      <c r="AS5" s="98">
        <v>816.1816891412349</v>
      </c>
      <c r="AT5" s="98">
        <v>248.40312278211496</v>
      </c>
      <c r="AU5" s="98">
        <v>212.91696238466997</v>
      </c>
      <c r="AV5" s="98">
        <v>319.37544357700494</v>
      </c>
      <c r="AW5" s="98">
        <v>674.2370475514549</v>
      </c>
      <c r="AX5" s="98">
        <v>319.37544357700494</v>
      </c>
      <c r="AY5" s="98">
        <v>887.1540099361249</v>
      </c>
      <c r="AZ5" s="98">
        <v>567.77856635912</v>
      </c>
      <c r="BA5" s="100" t="s">
        <v>553</v>
      </c>
      <c r="BB5" s="100" t="s">
        <v>553</v>
      </c>
      <c r="BC5" s="100" t="s">
        <v>553</v>
      </c>
      <c r="BD5" s="158">
        <v>0.8019848633</v>
      </c>
      <c r="BE5" s="158">
        <v>1.3527796939999999</v>
      </c>
      <c r="BF5" s="162">
        <v>420</v>
      </c>
      <c r="BG5" s="162" t="s">
        <v>553</v>
      </c>
      <c r="BH5" s="162">
        <v>701</v>
      </c>
      <c r="BI5" s="162">
        <v>364</v>
      </c>
      <c r="BJ5" s="162">
        <v>175</v>
      </c>
      <c r="BK5" s="97"/>
      <c r="BL5" s="97"/>
      <c r="BM5" s="97"/>
      <c r="BN5" s="97"/>
    </row>
    <row r="6" spans="1:66" ht="12.75">
      <c r="A6" s="79" t="s">
        <v>525</v>
      </c>
      <c r="B6" s="79" t="s">
        <v>300</v>
      </c>
      <c r="C6" s="79" t="s">
        <v>167</v>
      </c>
      <c r="D6" s="99">
        <v>13041</v>
      </c>
      <c r="E6" s="99">
        <v>2297</v>
      </c>
      <c r="F6" s="99" t="s">
        <v>345</v>
      </c>
      <c r="G6" s="99">
        <v>65</v>
      </c>
      <c r="H6" s="99">
        <v>41</v>
      </c>
      <c r="I6" s="99">
        <v>129</v>
      </c>
      <c r="J6" s="99">
        <v>1172</v>
      </c>
      <c r="K6" s="99">
        <v>7</v>
      </c>
      <c r="L6" s="99">
        <v>2164</v>
      </c>
      <c r="M6" s="99">
        <v>660</v>
      </c>
      <c r="N6" s="99">
        <v>442</v>
      </c>
      <c r="O6" s="99">
        <v>260</v>
      </c>
      <c r="P6" s="159">
        <v>260</v>
      </c>
      <c r="Q6" s="99">
        <v>35</v>
      </c>
      <c r="R6" s="99">
        <v>66</v>
      </c>
      <c r="S6" s="99">
        <v>61</v>
      </c>
      <c r="T6" s="99">
        <v>49</v>
      </c>
      <c r="U6" s="99">
        <v>21</v>
      </c>
      <c r="V6" s="99">
        <v>38</v>
      </c>
      <c r="W6" s="99">
        <v>111</v>
      </c>
      <c r="X6" s="99">
        <v>84</v>
      </c>
      <c r="Y6" s="99">
        <v>126</v>
      </c>
      <c r="Z6" s="99">
        <v>112</v>
      </c>
      <c r="AA6" s="99" t="s">
        <v>553</v>
      </c>
      <c r="AB6" s="99" t="s">
        <v>553</v>
      </c>
      <c r="AC6" s="99" t="s">
        <v>553</v>
      </c>
      <c r="AD6" s="98" t="s">
        <v>322</v>
      </c>
      <c r="AE6" s="100">
        <v>0.17613679932520512</v>
      </c>
      <c r="AF6" s="100">
        <v>0.16</v>
      </c>
      <c r="AG6" s="98">
        <v>498.4280346599187</v>
      </c>
      <c r="AH6" s="98">
        <v>314.39306801625645</v>
      </c>
      <c r="AI6" s="100">
        <v>0.01</v>
      </c>
      <c r="AJ6" s="100">
        <v>0.690224</v>
      </c>
      <c r="AK6" s="100">
        <v>0.388889</v>
      </c>
      <c r="AL6" s="100">
        <v>0.700097</v>
      </c>
      <c r="AM6" s="100">
        <v>0.413793</v>
      </c>
      <c r="AN6" s="100">
        <v>0.501134</v>
      </c>
      <c r="AO6" s="98">
        <v>1993.7121386396748</v>
      </c>
      <c r="AP6" s="158">
        <v>1.027349777</v>
      </c>
      <c r="AQ6" s="100">
        <v>0.1346153846153846</v>
      </c>
      <c r="AR6" s="100">
        <v>0.5303030303030303</v>
      </c>
      <c r="AS6" s="98">
        <v>467.75554021930833</v>
      </c>
      <c r="AT6" s="98">
        <v>375.7380568974772</v>
      </c>
      <c r="AU6" s="98">
        <v>161.0305958132045</v>
      </c>
      <c r="AV6" s="98">
        <v>291.38869718579866</v>
      </c>
      <c r="AW6" s="98">
        <v>851.1617207269381</v>
      </c>
      <c r="AX6" s="98">
        <v>644.122383252818</v>
      </c>
      <c r="AY6" s="98">
        <v>966.1835748792271</v>
      </c>
      <c r="AZ6" s="98">
        <v>858.8298443370907</v>
      </c>
      <c r="BA6" s="100" t="s">
        <v>553</v>
      </c>
      <c r="BB6" s="100" t="s">
        <v>553</v>
      </c>
      <c r="BC6" s="100" t="s">
        <v>553</v>
      </c>
      <c r="BD6" s="158">
        <v>0.9062571716</v>
      </c>
      <c r="BE6" s="158">
        <v>1.16011673</v>
      </c>
      <c r="BF6" s="162">
        <v>1698</v>
      </c>
      <c r="BG6" s="162">
        <v>18</v>
      </c>
      <c r="BH6" s="162">
        <v>3091</v>
      </c>
      <c r="BI6" s="162">
        <v>1595</v>
      </c>
      <c r="BJ6" s="162">
        <v>882</v>
      </c>
      <c r="BK6" s="97"/>
      <c r="BL6" s="97"/>
      <c r="BM6" s="97"/>
      <c r="BN6" s="97"/>
    </row>
    <row r="7" spans="1:66" ht="12.75">
      <c r="A7" s="79" t="s">
        <v>524</v>
      </c>
      <c r="B7" s="79" t="s">
        <v>299</v>
      </c>
      <c r="C7" s="79" t="s">
        <v>167</v>
      </c>
      <c r="D7" s="99">
        <v>11693</v>
      </c>
      <c r="E7" s="99">
        <v>2077</v>
      </c>
      <c r="F7" s="99" t="s">
        <v>344</v>
      </c>
      <c r="G7" s="99">
        <v>63</v>
      </c>
      <c r="H7" s="99">
        <v>31</v>
      </c>
      <c r="I7" s="99">
        <v>212</v>
      </c>
      <c r="J7" s="99">
        <v>1384</v>
      </c>
      <c r="K7" s="99">
        <v>1346</v>
      </c>
      <c r="L7" s="99">
        <v>2385</v>
      </c>
      <c r="M7" s="99">
        <v>804</v>
      </c>
      <c r="N7" s="99">
        <v>518</v>
      </c>
      <c r="O7" s="99">
        <v>409</v>
      </c>
      <c r="P7" s="159">
        <v>409</v>
      </c>
      <c r="Q7" s="99">
        <v>30</v>
      </c>
      <c r="R7" s="99">
        <v>70</v>
      </c>
      <c r="S7" s="99">
        <v>45</v>
      </c>
      <c r="T7" s="99">
        <v>48</v>
      </c>
      <c r="U7" s="99">
        <v>17</v>
      </c>
      <c r="V7" s="99">
        <v>105</v>
      </c>
      <c r="W7" s="99">
        <v>86</v>
      </c>
      <c r="X7" s="99">
        <v>42</v>
      </c>
      <c r="Y7" s="99">
        <v>134</v>
      </c>
      <c r="Z7" s="99">
        <v>96</v>
      </c>
      <c r="AA7" s="99" t="s">
        <v>553</v>
      </c>
      <c r="AB7" s="99" t="s">
        <v>553</v>
      </c>
      <c r="AC7" s="99" t="s">
        <v>553</v>
      </c>
      <c r="AD7" s="98" t="s">
        <v>322</v>
      </c>
      <c r="AE7" s="100">
        <v>0.17762764046865645</v>
      </c>
      <c r="AF7" s="100">
        <v>0.11</v>
      </c>
      <c r="AG7" s="98">
        <v>538.7838877961174</v>
      </c>
      <c r="AH7" s="98">
        <v>265.11588129650215</v>
      </c>
      <c r="AI7" s="100">
        <v>0.018000000000000002</v>
      </c>
      <c r="AJ7" s="100">
        <v>0.795402</v>
      </c>
      <c r="AK7" s="100">
        <v>0.799287</v>
      </c>
      <c r="AL7" s="100">
        <v>0.808749</v>
      </c>
      <c r="AM7" s="100">
        <v>0.49845</v>
      </c>
      <c r="AN7" s="100">
        <v>0.613018</v>
      </c>
      <c r="AO7" s="98">
        <v>3497.819208073206</v>
      </c>
      <c r="AP7" s="158">
        <v>1.7364788820000001</v>
      </c>
      <c r="AQ7" s="100">
        <v>0.07334963325183375</v>
      </c>
      <c r="AR7" s="100">
        <v>0.42857142857142855</v>
      </c>
      <c r="AS7" s="98">
        <v>384.8456341400838</v>
      </c>
      <c r="AT7" s="98">
        <v>410.5020097494227</v>
      </c>
      <c r="AU7" s="98">
        <v>145.38612845292056</v>
      </c>
      <c r="AV7" s="98">
        <v>897.9731463268622</v>
      </c>
      <c r="AW7" s="98">
        <v>735.4827674677157</v>
      </c>
      <c r="AX7" s="98">
        <v>359.1892585307449</v>
      </c>
      <c r="AY7" s="98">
        <v>1145.9847772171386</v>
      </c>
      <c r="AZ7" s="98">
        <v>821.0040194988454</v>
      </c>
      <c r="BA7" s="100" t="s">
        <v>553</v>
      </c>
      <c r="BB7" s="100" t="s">
        <v>553</v>
      </c>
      <c r="BC7" s="100" t="s">
        <v>553</v>
      </c>
      <c r="BD7" s="158">
        <v>1.572242889</v>
      </c>
      <c r="BE7" s="158">
        <v>1.9132066349999999</v>
      </c>
      <c r="BF7" s="162">
        <v>1740</v>
      </c>
      <c r="BG7" s="162">
        <v>1684</v>
      </c>
      <c r="BH7" s="162">
        <v>2949</v>
      </c>
      <c r="BI7" s="162">
        <v>1613</v>
      </c>
      <c r="BJ7" s="162">
        <v>845</v>
      </c>
      <c r="BK7" s="97"/>
      <c r="BL7" s="97"/>
      <c r="BM7" s="97"/>
      <c r="BN7" s="97"/>
    </row>
    <row r="8" spans="1:66" ht="12.75">
      <c r="A8" s="79" t="s">
        <v>534</v>
      </c>
      <c r="B8" s="79" t="s">
        <v>309</v>
      </c>
      <c r="C8" s="79" t="s">
        <v>167</v>
      </c>
      <c r="D8" s="99">
        <v>11483</v>
      </c>
      <c r="E8" s="99">
        <v>2102</v>
      </c>
      <c r="F8" s="99" t="s">
        <v>344</v>
      </c>
      <c r="G8" s="99">
        <v>58</v>
      </c>
      <c r="H8" s="99">
        <v>29</v>
      </c>
      <c r="I8" s="99">
        <v>205</v>
      </c>
      <c r="J8" s="99">
        <v>1164</v>
      </c>
      <c r="K8" s="99">
        <v>1055</v>
      </c>
      <c r="L8" s="99">
        <v>2316</v>
      </c>
      <c r="M8" s="99">
        <v>744</v>
      </c>
      <c r="N8" s="99">
        <v>490</v>
      </c>
      <c r="O8" s="99">
        <v>299</v>
      </c>
      <c r="P8" s="159">
        <v>299</v>
      </c>
      <c r="Q8" s="99">
        <v>28</v>
      </c>
      <c r="R8" s="99">
        <v>60</v>
      </c>
      <c r="S8" s="99">
        <v>51</v>
      </c>
      <c r="T8" s="99">
        <v>48</v>
      </c>
      <c r="U8" s="99">
        <v>8</v>
      </c>
      <c r="V8" s="99">
        <v>74</v>
      </c>
      <c r="W8" s="99">
        <v>85</v>
      </c>
      <c r="X8" s="99">
        <v>46</v>
      </c>
      <c r="Y8" s="99">
        <v>103</v>
      </c>
      <c r="Z8" s="99">
        <v>87</v>
      </c>
      <c r="AA8" s="99" t="s">
        <v>553</v>
      </c>
      <c r="AB8" s="99" t="s">
        <v>553</v>
      </c>
      <c r="AC8" s="99" t="s">
        <v>553</v>
      </c>
      <c r="AD8" s="98" t="s">
        <v>322</v>
      </c>
      <c r="AE8" s="100">
        <v>0.18305320909170078</v>
      </c>
      <c r="AF8" s="100">
        <v>0.11</v>
      </c>
      <c r="AG8" s="98">
        <v>505.0944875032657</v>
      </c>
      <c r="AH8" s="98">
        <v>252.54724375163286</v>
      </c>
      <c r="AI8" s="100">
        <v>0.018000000000000002</v>
      </c>
      <c r="AJ8" s="100">
        <v>0.749035</v>
      </c>
      <c r="AK8" s="100">
        <v>0.77346</v>
      </c>
      <c r="AL8" s="100">
        <v>0.800553</v>
      </c>
      <c r="AM8" s="100">
        <v>0.50101</v>
      </c>
      <c r="AN8" s="100">
        <v>0.60794</v>
      </c>
      <c r="AO8" s="98">
        <v>2603.8491683358006</v>
      </c>
      <c r="AP8" s="158">
        <v>1.3091629029999998</v>
      </c>
      <c r="AQ8" s="100">
        <v>0.09364548494983277</v>
      </c>
      <c r="AR8" s="100">
        <v>0.4666666666666667</v>
      </c>
      <c r="AS8" s="98">
        <v>444.1348079770095</v>
      </c>
      <c r="AT8" s="98">
        <v>418.00923103718543</v>
      </c>
      <c r="AU8" s="98">
        <v>69.66820517286423</v>
      </c>
      <c r="AV8" s="98">
        <v>644.4308978489942</v>
      </c>
      <c r="AW8" s="98">
        <v>740.2246799616825</v>
      </c>
      <c r="AX8" s="98">
        <v>400.5921797439693</v>
      </c>
      <c r="AY8" s="98">
        <v>896.978141600627</v>
      </c>
      <c r="AZ8" s="98">
        <v>757.6417312548986</v>
      </c>
      <c r="BA8" s="100" t="s">
        <v>553</v>
      </c>
      <c r="BB8" s="100" t="s">
        <v>553</v>
      </c>
      <c r="BC8" s="100" t="s">
        <v>553</v>
      </c>
      <c r="BD8" s="158">
        <v>1.164961929</v>
      </c>
      <c r="BE8" s="158">
        <v>1.466282501</v>
      </c>
      <c r="BF8" s="162">
        <v>1554</v>
      </c>
      <c r="BG8" s="162">
        <v>1364</v>
      </c>
      <c r="BH8" s="162">
        <v>2893</v>
      </c>
      <c r="BI8" s="162">
        <v>1485</v>
      </c>
      <c r="BJ8" s="162">
        <v>806</v>
      </c>
      <c r="BK8" s="97"/>
      <c r="BL8" s="97"/>
      <c r="BM8" s="97"/>
      <c r="BN8" s="97"/>
    </row>
    <row r="9" spans="1:66" ht="12.75">
      <c r="A9" s="79" t="s">
        <v>509</v>
      </c>
      <c r="B9" s="79" t="s">
        <v>284</v>
      </c>
      <c r="C9" s="79" t="s">
        <v>167</v>
      </c>
      <c r="D9" s="99">
        <v>8899</v>
      </c>
      <c r="E9" s="99">
        <v>1703</v>
      </c>
      <c r="F9" s="99" t="s">
        <v>346</v>
      </c>
      <c r="G9" s="99">
        <v>50</v>
      </c>
      <c r="H9" s="99">
        <v>25</v>
      </c>
      <c r="I9" s="99">
        <v>194</v>
      </c>
      <c r="J9" s="99">
        <v>1110</v>
      </c>
      <c r="K9" s="99">
        <v>1083</v>
      </c>
      <c r="L9" s="99">
        <v>1877</v>
      </c>
      <c r="M9" s="99">
        <v>673</v>
      </c>
      <c r="N9" s="99">
        <v>431</v>
      </c>
      <c r="O9" s="99">
        <v>212</v>
      </c>
      <c r="P9" s="159">
        <v>212</v>
      </c>
      <c r="Q9" s="99">
        <v>25</v>
      </c>
      <c r="R9" s="99">
        <v>57</v>
      </c>
      <c r="S9" s="99">
        <v>39</v>
      </c>
      <c r="T9" s="99">
        <v>40</v>
      </c>
      <c r="U9" s="99">
        <v>7</v>
      </c>
      <c r="V9" s="99">
        <v>33</v>
      </c>
      <c r="W9" s="99">
        <v>81</v>
      </c>
      <c r="X9" s="99">
        <v>42</v>
      </c>
      <c r="Y9" s="99">
        <v>99</v>
      </c>
      <c r="Z9" s="99">
        <v>55</v>
      </c>
      <c r="AA9" s="99" t="s">
        <v>553</v>
      </c>
      <c r="AB9" s="99" t="s">
        <v>553</v>
      </c>
      <c r="AC9" s="99" t="s">
        <v>553</v>
      </c>
      <c r="AD9" s="98" t="s">
        <v>322</v>
      </c>
      <c r="AE9" s="100">
        <v>0.19136981683335205</v>
      </c>
      <c r="AF9" s="100">
        <v>0.08</v>
      </c>
      <c r="AG9" s="98">
        <v>561.8608832453085</v>
      </c>
      <c r="AH9" s="98">
        <v>280.93044162265426</v>
      </c>
      <c r="AI9" s="100">
        <v>0.022000000000000002</v>
      </c>
      <c r="AJ9" s="100">
        <v>0.844106</v>
      </c>
      <c r="AK9" s="100">
        <v>0.85545</v>
      </c>
      <c r="AL9" s="100">
        <v>0.824692</v>
      </c>
      <c r="AM9" s="100">
        <v>0.559435</v>
      </c>
      <c r="AN9" s="100">
        <v>0.659021</v>
      </c>
      <c r="AO9" s="98">
        <v>2382.2901449601077</v>
      </c>
      <c r="AP9" s="158">
        <v>1.1643824010000001</v>
      </c>
      <c r="AQ9" s="100">
        <v>0.1179245283018868</v>
      </c>
      <c r="AR9" s="100">
        <v>0.43859649122807015</v>
      </c>
      <c r="AS9" s="98">
        <v>438.2514889313406</v>
      </c>
      <c r="AT9" s="98">
        <v>449.48870659624674</v>
      </c>
      <c r="AU9" s="98">
        <v>78.66052365434318</v>
      </c>
      <c r="AV9" s="98">
        <v>370.8281829419036</v>
      </c>
      <c r="AW9" s="98">
        <v>910.2146308573997</v>
      </c>
      <c r="AX9" s="98">
        <v>471.9631419260591</v>
      </c>
      <c r="AY9" s="98">
        <v>1112.4845488257108</v>
      </c>
      <c r="AZ9" s="98">
        <v>618.0469715698393</v>
      </c>
      <c r="BA9" s="100" t="s">
        <v>553</v>
      </c>
      <c r="BB9" s="100" t="s">
        <v>553</v>
      </c>
      <c r="BC9" s="100" t="s">
        <v>553</v>
      </c>
      <c r="BD9" s="158">
        <v>1.012909012</v>
      </c>
      <c r="BE9" s="158">
        <v>1.332118225</v>
      </c>
      <c r="BF9" s="162">
        <v>1315</v>
      </c>
      <c r="BG9" s="162">
        <v>1266</v>
      </c>
      <c r="BH9" s="162">
        <v>2276</v>
      </c>
      <c r="BI9" s="162">
        <v>1203</v>
      </c>
      <c r="BJ9" s="162">
        <v>654</v>
      </c>
      <c r="BK9" s="97"/>
      <c r="BL9" s="97"/>
      <c r="BM9" s="97"/>
      <c r="BN9" s="97"/>
    </row>
    <row r="10" spans="1:66" ht="12.75">
      <c r="A10" s="79" t="s">
        <v>531</v>
      </c>
      <c r="B10" s="79" t="s">
        <v>306</v>
      </c>
      <c r="C10" s="79" t="s">
        <v>167</v>
      </c>
      <c r="D10" s="99">
        <v>10031</v>
      </c>
      <c r="E10" s="99">
        <v>1646</v>
      </c>
      <c r="F10" s="99" t="s">
        <v>344</v>
      </c>
      <c r="G10" s="99">
        <v>59</v>
      </c>
      <c r="H10" s="99">
        <v>23</v>
      </c>
      <c r="I10" s="99">
        <v>186</v>
      </c>
      <c r="J10" s="99">
        <v>1048</v>
      </c>
      <c r="K10" s="99">
        <v>1012</v>
      </c>
      <c r="L10" s="99">
        <v>1954</v>
      </c>
      <c r="M10" s="99">
        <v>633</v>
      </c>
      <c r="N10" s="99">
        <v>403</v>
      </c>
      <c r="O10" s="99">
        <v>347</v>
      </c>
      <c r="P10" s="159">
        <v>347</v>
      </c>
      <c r="Q10" s="99">
        <v>30</v>
      </c>
      <c r="R10" s="99">
        <v>57</v>
      </c>
      <c r="S10" s="99">
        <v>64</v>
      </c>
      <c r="T10" s="99">
        <v>53</v>
      </c>
      <c r="U10" s="99">
        <v>6</v>
      </c>
      <c r="V10" s="99">
        <v>81</v>
      </c>
      <c r="W10" s="99">
        <v>56</v>
      </c>
      <c r="X10" s="99">
        <v>48</v>
      </c>
      <c r="Y10" s="99">
        <v>118</v>
      </c>
      <c r="Z10" s="99">
        <v>84</v>
      </c>
      <c r="AA10" s="99" t="s">
        <v>553</v>
      </c>
      <c r="AB10" s="99" t="s">
        <v>553</v>
      </c>
      <c r="AC10" s="99" t="s">
        <v>553</v>
      </c>
      <c r="AD10" s="98" t="s">
        <v>322</v>
      </c>
      <c r="AE10" s="100">
        <v>0.16409131691755557</v>
      </c>
      <c r="AF10" s="100">
        <v>0.11</v>
      </c>
      <c r="AG10" s="98">
        <v>588.1766523776294</v>
      </c>
      <c r="AH10" s="98">
        <v>229.28920346924534</v>
      </c>
      <c r="AI10" s="100">
        <v>0.019</v>
      </c>
      <c r="AJ10" s="100">
        <v>0.764964</v>
      </c>
      <c r="AK10" s="100">
        <v>0.77193</v>
      </c>
      <c r="AL10" s="100">
        <v>0.786318</v>
      </c>
      <c r="AM10" s="100">
        <v>0.482838</v>
      </c>
      <c r="AN10" s="100">
        <v>0.579023</v>
      </c>
      <c r="AO10" s="98">
        <v>3459.2762436447015</v>
      </c>
      <c r="AP10" s="158">
        <v>1.821652222</v>
      </c>
      <c r="AQ10" s="100">
        <v>0.08645533141210375</v>
      </c>
      <c r="AR10" s="100">
        <v>0.5263157894736842</v>
      </c>
      <c r="AS10" s="98">
        <v>638.0221313926827</v>
      </c>
      <c r="AT10" s="98">
        <v>528.3620775595654</v>
      </c>
      <c r="AU10" s="98">
        <v>59.814574818064</v>
      </c>
      <c r="AV10" s="98">
        <v>807.496760043864</v>
      </c>
      <c r="AW10" s="98">
        <v>558.2693649685973</v>
      </c>
      <c r="AX10" s="98">
        <v>478.516598544512</v>
      </c>
      <c r="AY10" s="98">
        <v>1176.3533047552587</v>
      </c>
      <c r="AZ10" s="98">
        <v>837.4040474528961</v>
      </c>
      <c r="BA10" s="100" t="s">
        <v>553</v>
      </c>
      <c r="BB10" s="100" t="s">
        <v>553</v>
      </c>
      <c r="BC10" s="100" t="s">
        <v>553</v>
      </c>
      <c r="BD10" s="158">
        <v>1.635004272</v>
      </c>
      <c r="BE10" s="158">
        <v>2.023768463</v>
      </c>
      <c r="BF10" s="162">
        <v>1370</v>
      </c>
      <c r="BG10" s="162">
        <v>1311</v>
      </c>
      <c r="BH10" s="162">
        <v>2485</v>
      </c>
      <c r="BI10" s="162">
        <v>1311</v>
      </c>
      <c r="BJ10" s="162">
        <v>696</v>
      </c>
      <c r="BK10" s="97"/>
      <c r="BL10" s="97"/>
      <c r="BM10" s="97"/>
      <c r="BN10" s="97"/>
    </row>
    <row r="11" spans="1:66" ht="12.75">
      <c r="A11" s="79" t="s">
        <v>545</v>
      </c>
      <c r="B11" s="79" t="s">
        <v>320</v>
      </c>
      <c r="C11" s="79" t="s">
        <v>167</v>
      </c>
      <c r="D11" s="99">
        <v>2891</v>
      </c>
      <c r="E11" s="99">
        <v>349</v>
      </c>
      <c r="F11" s="99" t="s">
        <v>343</v>
      </c>
      <c r="G11" s="99">
        <v>12</v>
      </c>
      <c r="H11" s="99">
        <v>6</v>
      </c>
      <c r="I11" s="99">
        <v>30</v>
      </c>
      <c r="J11" s="99">
        <v>177</v>
      </c>
      <c r="K11" s="99">
        <v>172</v>
      </c>
      <c r="L11" s="99">
        <v>442</v>
      </c>
      <c r="M11" s="99">
        <v>75</v>
      </c>
      <c r="N11" s="99">
        <v>48</v>
      </c>
      <c r="O11" s="99">
        <v>41</v>
      </c>
      <c r="P11" s="159">
        <v>41</v>
      </c>
      <c r="Q11" s="99">
        <v>7</v>
      </c>
      <c r="R11" s="99">
        <v>13</v>
      </c>
      <c r="S11" s="99">
        <v>9</v>
      </c>
      <c r="T11" s="99" t="s">
        <v>553</v>
      </c>
      <c r="U11" s="99" t="s">
        <v>553</v>
      </c>
      <c r="V11" s="99">
        <v>7</v>
      </c>
      <c r="W11" s="99">
        <v>7</v>
      </c>
      <c r="X11" s="99">
        <v>9</v>
      </c>
      <c r="Y11" s="99">
        <v>25</v>
      </c>
      <c r="Z11" s="99">
        <v>17</v>
      </c>
      <c r="AA11" s="99" t="s">
        <v>553</v>
      </c>
      <c r="AB11" s="99" t="s">
        <v>553</v>
      </c>
      <c r="AC11" s="99" t="s">
        <v>553</v>
      </c>
      <c r="AD11" s="98" t="s">
        <v>322</v>
      </c>
      <c r="AE11" s="100">
        <v>0.12071947423037012</v>
      </c>
      <c r="AF11" s="100">
        <v>0.24</v>
      </c>
      <c r="AG11" s="98">
        <v>415.08128675198896</v>
      </c>
      <c r="AH11" s="98">
        <v>207.54064337599448</v>
      </c>
      <c r="AI11" s="100">
        <v>0.01</v>
      </c>
      <c r="AJ11" s="100">
        <v>0.62766</v>
      </c>
      <c r="AK11" s="100">
        <v>0.616487</v>
      </c>
      <c r="AL11" s="100">
        <v>0.7072</v>
      </c>
      <c r="AM11" s="100">
        <v>0.284091</v>
      </c>
      <c r="AN11" s="100">
        <v>0.333333</v>
      </c>
      <c r="AO11" s="98">
        <v>1418.1943964026289</v>
      </c>
      <c r="AP11" s="158">
        <v>0.9039533234</v>
      </c>
      <c r="AQ11" s="100">
        <v>0.17073170731707318</v>
      </c>
      <c r="AR11" s="100">
        <v>0.5384615384615384</v>
      </c>
      <c r="AS11" s="98">
        <v>311.3109650639917</v>
      </c>
      <c r="AT11" s="98" t="s">
        <v>553</v>
      </c>
      <c r="AU11" s="98" t="s">
        <v>553</v>
      </c>
      <c r="AV11" s="98">
        <v>242.13075060532688</v>
      </c>
      <c r="AW11" s="98">
        <v>242.13075060532688</v>
      </c>
      <c r="AX11" s="98">
        <v>311.3109650639917</v>
      </c>
      <c r="AY11" s="98">
        <v>864.7526807333103</v>
      </c>
      <c r="AZ11" s="98">
        <v>588.031822898651</v>
      </c>
      <c r="BA11" s="100" t="s">
        <v>553</v>
      </c>
      <c r="BB11" s="100" t="s">
        <v>553</v>
      </c>
      <c r="BC11" s="100" t="s">
        <v>553</v>
      </c>
      <c r="BD11" s="158">
        <v>0.6486924744</v>
      </c>
      <c r="BE11" s="158">
        <v>1.226314774</v>
      </c>
      <c r="BF11" s="162">
        <v>282</v>
      </c>
      <c r="BG11" s="162">
        <v>279</v>
      </c>
      <c r="BH11" s="162">
        <v>625</v>
      </c>
      <c r="BI11" s="162">
        <v>264</v>
      </c>
      <c r="BJ11" s="162">
        <v>144</v>
      </c>
      <c r="BK11" s="97"/>
      <c r="BL11" s="97"/>
      <c r="BM11" s="97"/>
      <c r="BN11" s="97"/>
    </row>
    <row r="12" spans="1:66" ht="12.75">
      <c r="A12" s="79" t="s">
        <v>527</v>
      </c>
      <c r="B12" s="79" t="s">
        <v>302</v>
      </c>
      <c r="C12" s="79" t="s">
        <v>167</v>
      </c>
      <c r="D12" s="99">
        <v>13858</v>
      </c>
      <c r="E12" s="99">
        <v>2137</v>
      </c>
      <c r="F12" s="99" t="s">
        <v>345</v>
      </c>
      <c r="G12" s="99">
        <v>62</v>
      </c>
      <c r="H12" s="99">
        <v>45</v>
      </c>
      <c r="I12" s="99">
        <v>156</v>
      </c>
      <c r="J12" s="99">
        <v>1164</v>
      </c>
      <c r="K12" s="99">
        <v>370</v>
      </c>
      <c r="L12" s="99">
        <v>2604</v>
      </c>
      <c r="M12" s="99">
        <v>610</v>
      </c>
      <c r="N12" s="99">
        <v>406</v>
      </c>
      <c r="O12" s="99">
        <v>316</v>
      </c>
      <c r="P12" s="159">
        <v>316</v>
      </c>
      <c r="Q12" s="99">
        <v>22</v>
      </c>
      <c r="R12" s="99">
        <v>57</v>
      </c>
      <c r="S12" s="99">
        <v>65</v>
      </c>
      <c r="T12" s="99">
        <v>55</v>
      </c>
      <c r="U12" s="99">
        <v>19</v>
      </c>
      <c r="V12" s="99">
        <v>53</v>
      </c>
      <c r="W12" s="99">
        <v>88</v>
      </c>
      <c r="X12" s="99">
        <v>68</v>
      </c>
      <c r="Y12" s="99">
        <v>116</v>
      </c>
      <c r="Z12" s="99">
        <v>75</v>
      </c>
      <c r="AA12" s="99" t="s">
        <v>553</v>
      </c>
      <c r="AB12" s="99" t="s">
        <v>553</v>
      </c>
      <c r="AC12" s="99" t="s">
        <v>553</v>
      </c>
      <c r="AD12" s="98" t="s">
        <v>322</v>
      </c>
      <c r="AE12" s="100">
        <v>0.15420695627074613</v>
      </c>
      <c r="AF12" s="100">
        <v>0.17</v>
      </c>
      <c r="AG12" s="98">
        <v>447.39500649444363</v>
      </c>
      <c r="AH12" s="98">
        <v>324.72218213306394</v>
      </c>
      <c r="AI12" s="100">
        <v>0.011000000000000001</v>
      </c>
      <c r="AJ12" s="100">
        <v>0.754375</v>
      </c>
      <c r="AK12" s="100">
        <v>0.802603</v>
      </c>
      <c r="AL12" s="100">
        <v>0.771556</v>
      </c>
      <c r="AM12" s="100">
        <v>0.444283</v>
      </c>
      <c r="AN12" s="100">
        <v>0.571027</v>
      </c>
      <c r="AO12" s="98">
        <v>2280.2713234232933</v>
      </c>
      <c r="AP12" s="158">
        <v>1.294739227</v>
      </c>
      <c r="AQ12" s="100">
        <v>0.06962025316455696</v>
      </c>
      <c r="AR12" s="100">
        <v>0.38596491228070173</v>
      </c>
      <c r="AS12" s="98">
        <v>469.04315196998124</v>
      </c>
      <c r="AT12" s="98">
        <v>396.88266705152256</v>
      </c>
      <c r="AU12" s="98">
        <v>137.10492134507143</v>
      </c>
      <c r="AV12" s="98">
        <v>382.4505700678309</v>
      </c>
      <c r="AW12" s="98">
        <v>635.0122672824361</v>
      </c>
      <c r="AX12" s="98">
        <v>490.69129744551884</v>
      </c>
      <c r="AY12" s="98">
        <v>837.0616250541203</v>
      </c>
      <c r="AZ12" s="98">
        <v>541.2036368884399</v>
      </c>
      <c r="BA12" s="100" t="s">
        <v>553</v>
      </c>
      <c r="BB12" s="100" t="s">
        <v>553</v>
      </c>
      <c r="BC12" s="100" t="s">
        <v>553</v>
      </c>
      <c r="BD12" s="158">
        <v>1.155905151</v>
      </c>
      <c r="BE12" s="158">
        <v>1.445655975</v>
      </c>
      <c r="BF12" s="162">
        <v>1543</v>
      </c>
      <c r="BG12" s="162">
        <v>461</v>
      </c>
      <c r="BH12" s="162">
        <v>3375</v>
      </c>
      <c r="BI12" s="162">
        <v>1373</v>
      </c>
      <c r="BJ12" s="162">
        <v>711</v>
      </c>
      <c r="BK12" s="97"/>
      <c r="BL12" s="97"/>
      <c r="BM12" s="97"/>
      <c r="BN12" s="97"/>
    </row>
    <row r="13" spans="1:66" ht="12.75">
      <c r="A13" s="79" t="s">
        <v>533</v>
      </c>
      <c r="B13" s="79" t="s">
        <v>308</v>
      </c>
      <c r="C13" s="79" t="s">
        <v>167</v>
      </c>
      <c r="D13" s="99">
        <v>9735</v>
      </c>
      <c r="E13" s="99">
        <v>1635</v>
      </c>
      <c r="F13" s="99" t="s">
        <v>345</v>
      </c>
      <c r="G13" s="99">
        <v>66</v>
      </c>
      <c r="H13" s="99">
        <v>23</v>
      </c>
      <c r="I13" s="99">
        <v>130</v>
      </c>
      <c r="J13" s="99">
        <v>812</v>
      </c>
      <c r="K13" s="99">
        <v>11</v>
      </c>
      <c r="L13" s="99">
        <v>1790</v>
      </c>
      <c r="M13" s="99">
        <v>521</v>
      </c>
      <c r="N13" s="99">
        <v>322</v>
      </c>
      <c r="O13" s="99">
        <v>248</v>
      </c>
      <c r="P13" s="159">
        <v>248</v>
      </c>
      <c r="Q13" s="99">
        <v>27</v>
      </c>
      <c r="R13" s="99">
        <v>45</v>
      </c>
      <c r="S13" s="99">
        <v>52</v>
      </c>
      <c r="T13" s="99">
        <v>30</v>
      </c>
      <c r="U13" s="99">
        <v>8</v>
      </c>
      <c r="V13" s="99">
        <v>46</v>
      </c>
      <c r="W13" s="99">
        <v>69</v>
      </c>
      <c r="X13" s="99">
        <v>31</v>
      </c>
      <c r="Y13" s="99">
        <v>100</v>
      </c>
      <c r="Z13" s="99">
        <v>67</v>
      </c>
      <c r="AA13" s="99" t="s">
        <v>553</v>
      </c>
      <c r="AB13" s="99" t="s">
        <v>553</v>
      </c>
      <c r="AC13" s="99" t="s">
        <v>553</v>
      </c>
      <c r="AD13" s="98" t="s">
        <v>322</v>
      </c>
      <c r="AE13" s="100">
        <v>0.1679506933744222</v>
      </c>
      <c r="AF13" s="100">
        <v>0.15</v>
      </c>
      <c r="AG13" s="98">
        <v>677.9661016949152</v>
      </c>
      <c r="AH13" s="98">
        <v>236.26091422701592</v>
      </c>
      <c r="AI13" s="100">
        <v>0.013000000000000001</v>
      </c>
      <c r="AJ13" s="100">
        <v>0.682353</v>
      </c>
      <c r="AK13" s="100">
        <v>0.578947</v>
      </c>
      <c r="AL13" s="100">
        <v>0.764304</v>
      </c>
      <c r="AM13" s="100">
        <v>0.468104</v>
      </c>
      <c r="AN13" s="100">
        <v>0.556131</v>
      </c>
      <c r="AO13" s="98">
        <v>2547.5089881869544</v>
      </c>
      <c r="AP13" s="158">
        <v>1.343126984</v>
      </c>
      <c r="AQ13" s="100">
        <v>0.10887096774193548</v>
      </c>
      <c r="AR13" s="100">
        <v>0.6</v>
      </c>
      <c r="AS13" s="98">
        <v>534.1551104262969</v>
      </c>
      <c r="AT13" s="98">
        <v>308.1664098613251</v>
      </c>
      <c r="AU13" s="98">
        <v>82.17770929635337</v>
      </c>
      <c r="AV13" s="98">
        <v>472.52182845403183</v>
      </c>
      <c r="AW13" s="98">
        <v>708.7827426810478</v>
      </c>
      <c r="AX13" s="98">
        <v>318.4386235233693</v>
      </c>
      <c r="AY13" s="98">
        <v>1027.221366204417</v>
      </c>
      <c r="AZ13" s="98">
        <v>688.2383153569594</v>
      </c>
      <c r="BA13" s="100" t="s">
        <v>553</v>
      </c>
      <c r="BB13" s="100" t="s">
        <v>553</v>
      </c>
      <c r="BC13" s="100" t="s">
        <v>553</v>
      </c>
      <c r="BD13" s="158">
        <v>1.181151581</v>
      </c>
      <c r="BE13" s="158">
        <v>1.521111298</v>
      </c>
      <c r="BF13" s="162">
        <v>1190</v>
      </c>
      <c r="BG13" s="162">
        <v>19</v>
      </c>
      <c r="BH13" s="162">
        <v>2342</v>
      </c>
      <c r="BI13" s="162">
        <v>1113</v>
      </c>
      <c r="BJ13" s="162">
        <v>579</v>
      </c>
      <c r="BK13" s="97"/>
      <c r="BL13" s="97"/>
      <c r="BM13" s="97"/>
      <c r="BN13" s="97"/>
    </row>
    <row r="14" spans="1:66" ht="12.75">
      <c r="A14" s="79" t="s">
        <v>516</v>
      </c>
      <c r="B14" s="79" t="s">
        <v>291</v>
      </c>
      <c r="C14" s="79" t="s">
        <v>167</v>
      </c>
      <c r="D14" s="99">
        <v>13264</v>
      </c>
      <c r="E14" s="99">
        <v>2567</v>
      </c>
      <c r="F14" s="99" t="s">
        <v>345</v>
      </c>
      <c r="G14" s="99">
        <v>94</v>
      </c>
      <c r="H14" s="99">
        <v>44</v>
      </c>
      <c r="I14" s="99">
        <v>313</v>
      </c>
      <c r="J14" s="99">
        <v>1318</v>
      </c>
      <c r="K14" s="99" t="s">
        <v>553</v>
      </c>
      <c r="L14" s="99">
        <v>2416</v>
      </c>
      <c r="M14" s="99">
        <v>686</v>
      </c>
      <c r="N14" s="99">
        <v>457</v>
      </c>
      <c r="O14" s="99">
        <v>352</v>
      </c>
      <c r="P14" s="159">
        <v>352</v>
      </c>
      <c r="Q14" s="99">
        <v>29</v>
      </c>
      <c r="R14" s="99">
        <v>57</v>
      </c>
      <c r="S14" s="99">
        <v>60</v>
      </c>
      <c r="T14" s="99">
        <v>64</v>
      </c>
      <c r="U14" s="99">
        <v>13</v>
      </c>
      <c r="V14" s="99">
        <v>22</v>
      </c>
      <c r="W14" s="99">
        <v>121</v>
      </c>
      <c r="X14" s="99">
        <v>67</v>
      </c>
      <c r="Y14" s="99">
        <v>150</v>
      </c>
      <c r="Z14" s="99">
        <v>103</v>
      </c>
      <c r="AA14" s="99" t="s">
        <v>553</v>
      </c>
      <c r="AB14" s="99" t="s">
        <v>553</v>
      </c>
      <c r="AC14" s="99" t="s">
        <v>553</v>
      </c>
      <c r="AD14" s="98" t="s">
        <v>322</v>
      </c>
      <c r="AE14" s="100">
        <v>0.1935313630880579</v>
      </c>
      <c r="AF14" s="100">
        <v>0.16</v>
      </c>
      <c r="AG14" s="98">
        <v>708.6851628468033</v>
      </c>
      <c r="AH14" s="98">
        <v>331.72496984318457</v>
      </c>
      <c r="AI14" s="100">
        <v>0.024</v>
      </c>
      <c r="AJ14" s="100">
        <v>0.77896</v>
      </c>
      <c r="AK14" s="100" t="s">
        <v>553</v>
      </c>
      <c r="AL14" s="100">
        <v>0.774607</v>
      </c>
      <c r="AM14" s="100">
        <v>0.449247</v>
      </c>
      <c r="AN14" s="100">
        <v>0.557317</v>
      </c>
      <c r="AO14" s="98">
        <v>2653.7997587454765</v>
      </c>
      <c r="AP14" s="158">
        <v>1.316146851</v>
      </c>
      <c r="AQ14" s="100">
        <v>0.08238636363636363</v>
      </c>
      <c r="AR14" s="100">
        <v>0.5087719298245614</v>
      </c>
      <c r="AS14" s="98">
        <v>452.3522316043426</v>
      </c>
      <c r="AT14" s="98">
        <v>482.5090470446321</v>
      </c>
      <c r="AU14" s="98">
        <v>98.0096501809409</v>
      </c>
      <c r="AV14" s="98">
        <v>165.86248492159228</v>
      </c>
      <c r="AW14" s="98">
        <v>912.2436670687575</v>
      </c>
      <c r="AX14" s="98">
        <v>505.1266586248492</v>
      </c>
      <c r="AY14" s="98">
        <v>1130.8805790108565</v>
      </c>
      <c r="AZ14" s="98">
        <v>776.5379975874548</v>
      </c>
      <c r="BA14" s="100" t="s">
        <v>553</v>
      </c>
      <c r="BB14" s="100" t="s">
        <v>553</v>
      </c>
      <c r="BC14" s="100" t="s">
        <v>553</v>
      </c>
      <c r="BD14" s="158">
        <v>1.1822286990000002</v>
      </c>
      <c r="BE14" s="158">
        <v>1.46108078</v>
      </c>
      <c r="BF14" s="162">
        <v>1692</v>
      </c>
      <c r="BG14" s="162" t="s">
        <v>553</v>
      </c>
      <c r="BH14" s="162">
        <v>3119</v>
      </c>
      <c r="BI14" s="162">
        <v>1527</v>
      </c>
      <c r="BJ14" s="162">
        <v>820</v>
      </c>
      <c r="BK14" s="97"/>
      <c r="BL14" s="97"/>
      <c r="BM14" s="97"/>
      <c r="BN14" s="97"/>
    </row>
    <row r="15" spans="1:66" ht="12.75">
      <c r="A15" s="79" t="s">
        <v>532</v>
      </c>
      <c r="B15" s="79" t="s">
        <v>307</v>
      </c>
      <c r="C15" s="79" t="s">
        <v>167</v>
      </c>
      <c r="D15" s="99">
        <v>9671</v>
      </c>
      <c r="E15" s="99">
        <v>1669</v>
      </c>
      <c r="F15" s="99" t="s">
        <v>342</v>
      </c>
      <c r="G15" s="99">
        <v>54</v>
      </c>
      <c r="H15" s="99">
        <v>25</v>
      </c>
      <c r="I15" s="99">
        <v>147</v>
      </c>
      <c r="J15" s="99">
        <v>746</v>
      </c>
      <c r="K15" s="99">
        <v>738</v>
      </c>
      <c r="L15" s="99">
        <v>1492</v>
      </c>
      <c r="M15" s="99">
        <v>402</v>
      </c>
      <c r="N15" s="99">
        <v>240</v>
      </c>
      <c r="O15" s="99">
        <v>100</v>
      </c>
      <c r="P15" s="159">
        <v>100</v>
      </c>
      <c r="Q15" s="99">
        <v>12</v>
      </c>
      <c r="R15" s="99">
        <v>54</v>
      </c>
      <c r="S15" s="99">
        <v>22</v>
      </c>
      <c r="T15" s="99">
        <v>11</v>
      </c>
      <c r="U15" s="99" t="s">
        <v>553</v>
      </c>
      <c r="V15" s="99">
        <v>16</v>
      </c>
      <c r="W15" s="99">
        <v>37</v>
      </c>
      <c r="X15" s="99">
        <v>32</v>
      </c>
      <c r="Y15" s="99">
        <v>74</v>
      </c>
      <c r="Z15" s="99">
        <v>79</v>
      </c>
      <c r="AA15" s="99" t="s">
        <v>553</v>
      </c>
      <c r="AB15" s="99" t="s">
        <v>553</v>
      </c>
      <c r="AC15" s="99" t="s">
        <v>553</v>
      </c>
      <c r="AD15" s="98" t="s">
        <v>322</v>
      </c>
      <c r="AE15" s="100">
        <v>0.17257780994726502</v>
      </c>
      <c r="AF15" s="100">
        <v>0.19</v>
      </c>
      <c r="AG15" s="98">
        <v>558.3703856891739</v>
      </c>
      <c r="AH15" s="98">
        <v>258.5048081894323</v>
      </c>
      <c r="AI15" s="100">
        <v>0.015</v>
      </c>
      <c r="AJ15" s="100">
        <v>0.711832</v>
      </c>
      <c r="AK15" s="100">
        <v>0.725664</v>
      </c>
      <c r="AL15" s="100">
        <v>0.685662</v>
      </c>
      <c r="AM15" s="100">
        <v>0.419624</v>
      </c>
      <c r="AN15" s="100">
        <v>0.524017</v>
      </c>
      <c r="AO15" s="98">
        <v>1034.0192327577292</v>
      </c>
      <c r="AP15" s="158">
        <v>0.5742824936</v>
      </c>
      <c r="AQ15" s="100">
        <v>0.12</v>
      </c>
      <c r="AR15" s="100">
        <v>0.2222222222222222</v>
      </c>
      <c r="AS15" s="98">
        <v>227.48423120670046</v>
      </c>
      <c r="AT15" s="98">
        <v>113.74211560335023</v>
      </c>
      <c r="AU15" s="98" t="s">
        <v>553</v>
      </c>
      <c r="AV15" s="98">
        <v>165.4430772412367</v>
      </c>
      <c r="AW15" s="98">
        <v>382.58711612035984</v>
      </c>
      <c r="AX15" s="98">
        <v>330.8861544824734</v>
      </c>
      <c r="AY15" s="98">
        <v>765.1742322407197</v>
      </c>
      <c r="AZ15" s="98">
        <v>816.8751938786062</v>
      </c>
      <c r="BA15" s="100" t="s">
        <v>553</v>
      </c>
      <c r="BB15" s="100" t="s">
        <v>553</v>
      </c>
      <c r="BC15" s="100" t="s">
        <v>553</v>
      </c>
      <c r="BD15" s="158">
        <v>0.46725914</v>
      </c>
      <c r="BE15" s="158">
        <v>0.698481369</v>
      </c>
      <c r="BF15" s="162">
        <v>1048</v>
      </c>
      <c r="BG15" s="162">
        <v>1017</v>
      </c>
      <c r="BH15" s="162">
        <v>2176</v>
      </c>
      <c r="BI15" s="162">
        <v>958</v>
      </c>
      <c r="BJ15" s="162">
        <v>458</v>
      </c>
      <c r="BK15" s="97"/>
      <c r="BL15" s="97"/>
      <c r="BM15" s="97"/>
      <c r="BN15" s="97"/>
    </row>
    <row r="16" spans="1:66" ht="12.75">
      <c r="A16" s="79" t="s">
        <v>522</v>
      </c>
      <c r="B16" s="79" t="s">
        <v>297</v>
      </c>
      <c r="C16" s="79" t="s">
        <v>167</v>
      </c>
      <c r="D16" s="99">
        <v>9862</v>
      </c>
      <c r="E16" s="99">
        <v>1548</v>
      </c>
      <c r="F16" s="99" t="s">
        <v>342</v>
      </c>
      <c r="G16" s="99">
        <v>54</v>
      </c>
      <c r="H16" s="99">
        <v>32</v>
      </c>
      <c r="I16" s="99">
        <v>111</v>
      </c>
      <c r="J16" s="99">
        <v>806</v>
      </c>
      <c r="K16" s="99" t="s">
        <v>553</v>
      </c>
      <c r="L16" s="99">
        <v>1831</v>
      </c>
      <c r="M16" s="99">
        <v>439</v>
      </c>
      <c r="N16" s="99">
        <v>291</v>
      </c>
      <c r="O16" s="99">
        <v>194</v>
      </c>
      <c r="P16" s="159">
        <v>194</v>
      </c>
      <c r="Q16" s="99">
        <v>18</v>
      </c>
      <c r="R16" s="99">
        <v>41</v>
      </c>
      <c r="S16" s="99">
        <v>40</v>
      </c>
      <c r="T16" s="99">
        <v>38</v>
      </c>
      <c r="U16" s="99">
        <v>8</v>
      </c>
      <c r="V16" s="99">
        <v>30</v>
      </c>
      <c r="W16" s="99">
        <v>79</v>
      </c>
      <c r="X16" s="99">
        <v>42</v>
      </c>
      <c r="Y16" s="99">
        <v>86</v>
      </c>
      <c r="Z16" s="99">
        <v>79</v>
      </c>
      <c r="AA16" s="99" t="s">
        <v>553</v>
      </c>
      <c r="AB16" s="99" t="s">
        <v>553</v>
      </c>
      <c r="AC16" s="99" t="s">
        <v>553</v>
      </c>
      <c r="AD16" s="98" t="s">
        <v>322</v>
      </c>
      <c r="AE16" s="100">
        <v>0.15696613263029813</v>
      </c>
      <c r="AF16" s="100">
        <v>0.19</v>
      </c>
      <c r="AG16" s="98">
        <v>547.556276617319</v>
      </c>
      <c r="AH16" s="98">
        <v>324.47779355100386</v>
      </c>
      <c r="AI16" s="100">
        <v>0.011000000000000001</v>
      </c>
      <c r="AJ16" s="100">
        <v>0.716444</v>
      </c>
      <c r="AK16" s="100" t="s">
        <v>553</v>
      </c>
      <c r="AL16" s="100">
        <v>0.750718</v>
      </c>
      <c r="AM16" s="100">
        <v>0.452111</v>
      </c>
      <c r="AN16" s="100">
        <v>0.556405</v>
      </c>
      <c r="AO16" s="98">
        <v>1967.1466234029608</v>
      </c>
      <c r="AP16" s="158">
        <v>1.089031677</v>
      </c>
      <c r="AQ16" s="100">
        <v>0.09278350515463918</v>
      </c>
      <c r="AR16" s="100">
        <v>0.43902439024390244</v>
      </c>
      <c r="AS16" s="98">
        <v>405.5972419387548</v>
      </c>
      <c r="AT16" s="98">
        <v>385.31737984181706</v>
      </c>
      <c r="AU16" s="98">
        <v>81.11944838775096</v>
      </c>
      <c r="AV16" s="98">
        <v>304.1979314540661</v>
      </c>
      <c r="AW16" s="98">
        <v>801.0545528290407</v>
      </c>
      <c r="AX16" s="98">
        <v>425.8771040356926</v>
      </c>
      <c r="AY16" s="98">
        <v>872.0340701683228</v>
      </c>
      <c r="AZ16" s="98">
        <v>801.0545528290407</v>
      </c>
      <c r="BA16" s="100" t="s">
        <v>553</v>
      </c>
      <c r="BB16" s="100" t="s">
        <v>553</v>
      </c>
      <c r="BC16" s="100" t="s">
        <v>553</v>
      </c>
      <c r="BD16" s="158">
        <v>0.9411702728</v>
      </c>
      <c r="BE16" s="158">
        <v>1.253531036</v>
      </c>
      <c r="BF16" s="162">
        <v>1125</v>
      </c>
      <c r="BG16" s="162" t="s">
        <v>553</v>
      </c>
      <c r="BH16" s="162">
        <v>2439</v>
      </c>
      <c r="BI16" s="162">
        <v>971</v>
      </c>
      <c r="BJ16" s="162">
        <v>523</v>
      </c>
      <c r="BK16" s="97"/>
      <c r="BL16" s="97"/>
      <c r="BM16" s="97"/>
      <c r="BN16" s="97"/>
    </row>
    <row r="17" spans="1:66" ht="12.75">
      <c r="A17" s="79" t="s">
        <v>526</v>
      </c>
      <c r="B17" s="79" t="s">
        <v>301</v>
      </c>
      <c r="C17" s="79" t="s">
        <v>167</v>
      </c>
      <c r="D17" s="99">
        <v>5638</v>
      </c>
      <c r="E17" s="99">
        <v>736</v>
      </c>
      <c r="F17" s="99" t="s">
        <v>342</v>
      </c>
      <c r="G17" s="99">
        <v>9</v>
      </c>
      <c r="H17" s="99">
        <v>15</v>
      </c>
      <c r="I17" s="99">
        <v>56</v>
      </c>
      <c r="J17" s="99">
        <v>315</v>
      </c>
      <c r="K17" s="99" t="s">
        <v>553</v>
      </c>
      <c r="L17" s="99">
        <v>1007</v>
      </c>
      <c r="M17" s="99">
        <v>176</v>
      </c>
      <c r="N17" s="99">
        <v>104</v>
      </c>
      <c r="O17" s="99">
        <v>106</v>
      </c>
      <c r="P17" s="159">
        <v>106</v>
      </c>
      <c r="Q17" s="99">
        <v>17</v>
      </c>
      <c r="R17" s="99">
        <v>27</v>
      </c>
      <c r="S17" s="99">
        <v>18</v>
      </c>
      <c r="T17" s="99">
        <v>20</v>
      </c>
      <c r="U17" s="99">
        <v>8</v>
      </c>
      <c r="V17" s="99">
        <v>9</v>
      </c>
      <c r="W17" s="99">
        <v>23</v>
      </c>
      <c r="X17" s="99">
        <v>18</v>
      </c>
      <c r="Y17" s="99">
        <v>56</v>
      </c>
      <c r="Z17" s="99">
        <v>34</v>
      </c>
      <c r="AA17" s="99" t="s">
        <v>553</v>
      </c>
      <c r="AB17" s="99" t="s">
        <v>553</v>
      </c>
      <c r="AC17" s="99" t="s">
        <v>553</v>
      </c>
      <c r="AD17" s="98" t="s">
        <v>322</v>
      </c>
      <c r="AE17" s="100">
        <v>0.1305427456544874</v>
      </c>
      <c r="AF17" s="100">
        <v>0.21</v>
      </c>
      <c r="AG17" s="98">
        <v>159.6310748492373</v>
      </c>
      <c r="AH17" s="98">
        <v>266.05179141539554</v>
      </c>
      <c r="AI17" s="100">
        <v>0.01</v>
      </c>
      <c r="AJ17" s="100">
        <v>0.618861</v>
      </c>
      <c r="AK17" s="100" t="s">
        <v>553</v>
      </c>
      <c r="AL17" s="100">
        <v>0.744272</v>
      </c>
      <c r="AM17" s="100">
        <v>0.363636</v>
      </c>
      <c r="AN17" s="100">
        <v>0.417671</v>
      </c>
      <c r="AO17" s="98">
        <v>1880.0993260021285</v>
      </c>
      <c r="AP17" s="158">
        <v>1.1947496800000001</v>
      </c>
      <c r="AQ17" s="100">
        <v>0.16037735849056603</v>
      </c>
      <c r="AR17" s="100">
        <v>0.6296296296296297</v>
      </c>
      <c r="AS17" s="98">
        <v>319.2621496984746</v>
      </c>
      <c r="AT17" s="98">
        <v>354.735721887194</v>
      </c>
      <c r="AU17" s="98">
        <v>141.8942887548776</v>
      </c>
      <c r="AV17" s="98">
        <v>159.6310748492373</v>
      </c>
      <c r="AW17" s="98">
        <v>407.94608017027315</v>
      </c>
      <c r="AX17" s="98">
        <v>319.2621496984746</v>
      </c>
      <c r="AY17" s="98">
        <v>993.2600212841434</v>
      </c>
      <c r="AZ17" s="98">
        <v>603.0507272082299</v>
      </c>
      <c r="BA17" s="100" t="s">
        <v>553</v>
      </c>
      <c r="BB17" s="100" t="s">
        <v>553</v>
      </c>
      <c r="BC17" s="100" t="s">
        <v>553</v>
      </c>
      <c r="BD17" s="158">
        <v>0.9781631470000001</v>
      </c>
      <c r="BE17" s="158">
        <v>1.445015411</v>
      </c>
      <c r="BF17" s="162">
        <v>509</v>
      </c>
      <c r="BG17" s="162" t="s">
        <v>553</v>
      </c>
      <c r="BH17" s="162">
        <v>1353</v>
      </c>
      <c r="BI17" s="162">
        <v>484</v>
      </c>
      <c r="BJ17" s="162">
        <v>249</v>
      </c>
      <c r="BK17" s="97"/>
      <c r="BL17" s="97"/>
      <c r="BM17" s="97"/>
      <c r="BN17" s="97"/>
    </row>
    <row r="18" spans="1:66" ht="12.75">
      <c r="A18" s="79" t="s">
        <v>538</v>
      </c>
      <c r="B18" s="79" t="s">
        <v>313</v>
      </c>
      <c r="C18" s="79" t="s">
        <v>167</v>
      </c>
      <c r="D18" s="99">
        <v>11542</v>
      </c>
      <c r="E18" s="99">
        <v>1591</v>
      </c>
      <c r="F18" s="99" t="s">
        <v>345</v>
      </c>
      <c r="G18" s="99">
        <v>48</v>
      </c>
      <c r="H18" s="99">
        <v>35</v>
      </c>
      <c r="I18" s="99">
        <v>119</v>
      </c>
      <c r="J18" s="99">
        <v>994</v>
      </c>
      <c r="K18" s="99">
        <v>979</v>
      </c>
      <c r="L18" s="99">
        <v>2308</v>
      </c>
      <c r="M18" s="99">
        <v>451</v>
      </c>
      <c r="N18" s="99">
        <v>300</v>
      </c>
      <c r="O18" s="99">
        <v>277</v>
      </c>
      <c r="P18" s="159">
        <v>277</v>
      </c>
      <c r="Q18" s="99">
        <v>25</v>
      </c>
      <c r="R18" s="99">
        <v>58</v>
      </c>
      <c r="S18" s="99">
        <v>67</v>
      </c>
      <c r="T18" s="99">
        <v>40</v>
      </c>
      <c r="U18" s="99">
        <v>12</v>
      </c>
      <c r="V18" s="99">
        <v>27</v>
      </c>
      <c r="W18" s="99">
        <v>72</v>
      </c>
      <c r="X18" s="99">
        <v>76</v>
      </c>
      <c r="Y18" s="99">
        <v>123</v>
      </c>
      <c r="Z18" s="99">
        <v>72</v>
      </c>
      <c r="AA18" s="99" t="s">
        <v>553</v>
      </c>
      <c r="AB18" s="99" t="s">
        <v>553</v>
      </c>
      <c r="AC18" s="99" t="s">
        <v>553</v>
      </c>
      <c r="AD18" s="98" t="s">
        <v>322</v>
      </c>
      <c r="AE18" s="100">
        <v>0.1378443943857217</v>
      </c>
      <c r="AF18" s="100">
        <v>0.14</v>
      </c>
      <c r="AG18" s="98">
        <v>415.87246577716166</v>
      </c>
      <c r="AH18" s="98">
        <v>303.24033962918037</v>
      </c>
      <c r="AI18" s="100">
        <v>0.01</v>
      </c>
      <c r="AJ18" s="100">
        <v>0.764615</v>
      </c>
      <c r="AK18" s="100">
        <v>0.773302</v>
      </c>
      <c r="AL18" s="100">
        <v>0.757964</v>
      </c>
      <c r="AM18" s="100">
        <v>0.426679</v>
      </c>
      <c r="AN18" s="100">
        <v>0.526316</v>
      </c>
      <c r="AO18" s="98">
        <v>2399.9306879223705</v>
      </c>
      <c r="AP18" s="158">
        <v>1.383706512</v>
      </c>
      <c r="AQ18" s="100">
        <v>0.09025270758122744</v>
      </c>
      <c r="AR18" s="100">
        <v>0.43103448275862066</v>
      </c>
      <c r="AS18" s="98">
        <v>580.4886501472881</v>
      </c>
      <c r="AT18" s="98">
        <v>346.56038814763474</v>
      </c>
      <c r="AU18" s="98">
        <v>103.96811644429042</v>
      </c>
      <c r="AV18" s="98">
        <v>233.92826199965344</v>
      </c>
      <c r="AW18" s="98">
        <v>623.8086986657426</v>
      </c>
      <c r="AX18" s="98">
        <v>658.464737480506</v>
      </c>
      <c r="AY18" s="98">
        <v>1065.6731935539767</v>
      </c>
      <c r="AZ18" s="98">
        <v>623.8086986657426</v>
      </c>
      <c r="BA18" s="100" t="s">
        <v>553</v>
      </c>
      <c r="BB18" s="100" t="s">
        <v>553</v>
      </c>
      <c r="BC18" s="100" t="s">
        <v>553</v>
      </c>
      <c r="BD18" s="158">
        <v>1.225539017</v>
      </c>
      <c r="BE18" s="158">
        <v>1.556623535</v>
      </c>
      <c r="BF18" s="162">
        <v>1300</v>
      </c>
      <c r="BG18" s="162">
        <v>1266</v>
      </c>
      <c r="BH18" s="162">
        <v>3045</v>
      </c>
      <c r="BI18" s="162">
        <v>1057</v>
      </c>
      <c r="BJ18" s="162">
        <v>570</v>
      </c>
      <c r="BK18" s="97"/>
      <c r="BL18" s="97"/>
      <c r="BM18" s="97"/>
      <c r="BN18" s="97"/>
    </row>
    <row r="19" spans="1:66" ht="12.75">
      <c r="A19" s="79" t="s">
        <v>537</v>
      </c>
      <c r="B19" s="79" t="s">
        <v>312</v>
      </c>
      <c r="C19" s="79" t="s">
        <v>167</v>
      </c>
      <c r="D19" s="99">
        <v>3976</v>
      </c>
      <c r="E19" s="99">
        <v>755</v>
      </c>
      <c r="F19" s="99" t="s">
        <v>342</v>
      </c>
      <c r="G19" s="99">
        <v>24</v>
      </c>
      <c r="H19" s="99">
        <v>17</v>
      </c>
      <c r="I19" s="99">
        <v>66</v>
      </c>
      <c r="J19" s="99">
        <v>364</v>
      </c>
      <c r="K19" s="99">
        <v>368</v>
      </c>
      <c r="L19" s="99">
        <v>722</v>
      </c>
      <c r="M19" s="99">
        <v>220</v>
      </c>
      <c r="N19" s="99">
        <v>139</v>
      </c>
      <c r="O19" s="99">
        <v>40</v>
      </c>
      <c r="P19" s="159">
        <v>40</v>
      </c>
      <c r="Q19" s="99">
        <v>13</v>
      </c>
      <c r="R19" s="99">
        <v>27</v>
      </c>
      <c r="S19" s="99">
        <v>24</v>
      </c>
      <c r="T19" s="99" t="s">
        <v>553</v>
      </c>
      <c r="U19" s="99" t="s">
        <v>553</v>
      </c>
      <c r="V19" s="99" t="s">
        <v>553</v>
      </c>
      <c r="W19" s="99">
        <v>25</v>
      </c>
      <c r="X19" s="99">
        <v>16</v>
      </c>
      <c r="Y19" s="99">
        <v>38</v>
      </c>
      <c r="Z19" s="99">
        <v>32</v>
      </c>
      <c r="AA19" s="99" t="s">
        <v>553</v>
      </c>
      <c r="AB19" s="99" t="s">
        <v>553</v>
      </c>
      <c r="AC19" s="99" t="s">
        <v>553</v>
      </c>
      <c r="AD19" s="98" t="s">
        <v>322</v>
      </c>
      <c r="AE19" s="100">
        <v>0.1898893360160966</v>
      </c>
      <c r="AF19" s="100">
        <v>0.18</v>
      </c>
      <c r="AG19" s="98">
        <v>603.6217303822938</v>
      </c>
      <c r="AH19" s="98">
        <v>427.56539235412475</v>
      </c>
      <c r="AI19" s="100">
        <v>0.017</v>
      </c>
      <c r="AJ19" s="100">
        <v>0.7251</v>
      </c>
      <c r="AK19" s="100">
        <v>0.758763</v>
      </c>
      <c r="AL19" s="100">
        <v>0.795154</v>
      </c>
      <c r="AM19" s="100">
        <v>0.447154</v>
      </c>
      <c r="AN19" s="100">
        <v>0.518657</v>
      </c>
      <c r="AO19" s="98">
        <v>1006.0362173038229</v>
      </c>
      <c r="AP19" s="158">
        <v>0.507101593</v>
      </c>
      <c r="AQ19" s="100">
        <v>0.325</v>
      </c>
      <c r="AR19" s="100">
        <v>0.48148148148148145</v>
      </c>
      <c r="AS19" s="98">
        <v>603.6217303822938</v>
      </c>
      <c r="AT19" s="98" t="s">
        <v>553</v>
      </c>
      <c r="AU19" s="98" t="s">
        <v>553</v>
      </c>
      <c r="AV19" s="98" t="s">
        <v>553</v>
      </c>
      <c r="AW19" s="98">
        <v>628.7726358148893</v>
      </c>
      <c r="AX19" s="98">
        <v>402.4144869215292</v>
      </c>
      <c r="AY19" s="98">
        <v>955.7344064386318</v>
      </c>
      <c r="AZ19" s="98">
        <v>804.8289738430584</v>
      </c>
      <c r="BA19" s="100" t="s">
        <v>553</v>
      </c>
      <c r="BB19" s="100" t="s">
        <v>553</v>
      </c>
      <c r="BC19" s="100" t="s">
        <v>553</v>
      </c>
      <c r="BD19" s="158">
        <v>0.36228080749999997</v>
      </c>
      <c r="BE19" s="158">
        <v>0.6905284118999999</v>
      </c>
      <c r="BF19" s="162">
        <v>502</v>
      </c>
      <c r="BG19" s="162">
        <v>485</v>
      </c>
      <c r="BH19" s="162">
        <v>908</v>
      </c>
      <c r="BI19" s="162">
        <v>492</v>
      </c>
      <c r="BJ19" s="162">
        <v>268</v>
      </c>
      <c r="BK19" s="97"/>
      <c r="BL19" s="97"/>
      <c r="BM19" s="97"/>
      <c r="BN19" s="97"/>
    </row>
    <row r="20" spans="1:66" ht="12.75">
      <c r="A20" s="79" t="s">
        <v>514</v>
      </c>
      <c r="B20" s="79" t="s">
        <v>289</v>
      </c>
      <c r="C20" s="79" t="s">
        <v>167</v>
      </c>
      <c r="D20" s="99">
        <v>13013</v>
      </c>
      <c r="E20" s="99">
        <v>2189</v>
      </c>
      <c r="F20" s="99" t="s">
        <v>342</v>
      </c>
      <c r="G20" s="99">
        <v>71</v>
      </c>
      <c r="H20" s="99">
        <v>42</v>
      </c>
      <c r="I20" s="99">
        <v>231</v>
      </c>
      <c r="J20" s="99">
        <v>1124</v>
      </c>
      <c r="K20" s="99">
        <v>23</v>
      </c>
      <c r="L20" s="99">
        <v>2353</v>
      </c>
      <c r="M20" s="99">
        <v>583</v>
      </c>
      <c r="N20" s="99">
        <v>366</v>
      </c>
      <c r="O20" s="99">
        <v>332</v>
      </c>
      <c r="P20" s="159">
        <v>332</v>
      </c>
      <c r="Q20" s="99">
        <v>34</v>
      </c>
      <c r="R20" s="99">
        <v>66</v>
      </c>
      <c r="S20" s="99">
        <v>45</v>
      </c>
      <c r="T20" s="99">
        <v>49</v>
      </c>
      <c r="U20" s="99">
        <v>17</v>
      </c>
      <c r="V20" s="99">
        <v>66</v>
      </c>
      <c r="W20" s="99">
        <v>81</v>
      </c>
      <c r="X20" s="99">
        <v>63</v>
      </c>
      <c r="Y20" s="99">
        <v>160</v>
      </c>
      <c r="Z20" s="99">
        <v>100</v>
      </c>
      <c r="AA20" s="99" t="s">
        <v>553</v>
      </c>
      <c r="AB20" s="99" t="s">
        <v>553</v>
      </c>
      <c r="AC20" s="99" t="s">
        <v>553</v>
      </c>
      <c r="AD20" s="98" t="s">
        <v>322</v>
      </c>
      <c r="AE20" s="100">
        <v>0.16821639898562976</v>
      </c>
      <c r="AF20" s="100">
        <v>0.2</v>
      </c>
      <c r="AG20" s="98">
        <v>545.6082379159302</v>
      </c>
      <c r="AH20" s="98">
        <v>322.75416890801506</v>
      </c>
      <c r="AI20" s="100">
        <v>0.018000000000000002</v>
      </c>
      <c r="AJ20" s="100">
        <v>0.733681</v>
      </c>
      <c r="AK20" s="100">
        <v>0.547619</v>
      </c>
      <c r="AL20" s="100">
        <v>0.756592</v>
      </c>
      <c r="AM20" s="100">
        <v>0.425858</v>
      </c>
      <c r="AN20" s="100">
        <v>0.511173</v>
      </c>
      <c r="AO20" s="98">
        <v>2551.2948589871667</v>
      </c>
      <c r="AP20" s="158">
        <v>1.388159637</v>
      </c>
      <c r="AQ20" s="100">
        <v>0.10240963855421686</v>
      </c>
      <c r="AR20" s="100">
        <v>0.5151515151515151</v>
      </c>
      <c r="AS20" s="98">
        <v>345.8080381157304</v>
      </c>
      <c r="AT20" s="98">
        <v>376.54653039268425</v>
      </c>
      <c r="AU20" s="98">
        <v>130.6385921770537</v>
      </c>
      <c r="AV20" s="98">
        <v>507.1851225697379</v>
      </c>
      <c r="AW20" s="98">
        <v>622.4544686083148</v>
      </c>
      <c r="AX20" s="98">
        <v>484.1312533620226</v>
      </c>
      <c r="AY20" s="98">
        <v>1229.5396910781526</v>
      </c>
      <c r="AZ20" s="98">
        <v>768.4623069238454</v>
      </c>
      <c r="BA20" s="100" t="s">
        <v>553</v>
      </c>
      <c r="BB20" s="100" t="s">
        <v>553</v>
      </c>
      <c r="BC20" s="100" t="s">
        <v>553</v>
      </c>
      <c r="BD20" s="158">
        <v>1.242838287</v>
      </c>
      <c r="BE20" s="158">
        <v>1.5458056640000002</v>
      </c>
      <c r="BF20" s="162">
        <v>1532</v>
      </c>
      <c r="BG20" s="162">
        <v>42</v>
      </c>
      <c r="BH20" s="162">
        <v>3110</v>
      </c>
      <c r="BI20" s="162">
        <v>1369</v>
      </c>
      <c r="BJ20" s="162">
        <v>716</v>
      </c>
      <c r="BK20" s="97"/>
      <c r="BL20" s="97"/>
      <c r="BM20" s="97"/>
      <c r="BN20" s="97"/>
    </row>
    <row r="21" spans="1:66" ht="12.75">
      <c r="A21" s="79" t="s">
        <v>517</v>
      </c>
      <c r="B21" s="79" t="s">
        <v>292</v>
      </c>
      <c r="C21" s="79" t="s">
        <v>167</v>
      </c>
      <c r="D21" s="99">
        <v>9636</v>
      </c>
      <c r="E21" s="99">
        <v>1277</v>
      </c>
      <c r="F21" s="99" t="s">
        <v>342</v>
      </c>
      <c r="G21" s="99">
        <v>38</v>
      </c>
      <c r="H21" s="99">
        <v>23</v>
      </c>
      <c r="I21" s="99">
        <v>125</v>
      </c>
      <c r="J21" s="99">
        <v>836</v>
      </c>
      <c r="K21" s="99">
        <v>821</v>
      </c>
      <c r="L21" s="99">
        <v>1677</v>
      </c>
      <c r="M21" s="99">
        <v>442</v>
      </c>
      <c r="N21" s="99">
        <v>274</v>
      </c>
      <c r="O21" s="99">
        <v>116</v>
      </c>
      <c r="P21" s="159">
        <v>116</v>
      </c>
      <c r="Q21" s="99">
        <v>15</v>
      </c>
      <c r="R21" s="99">
        <v>45</v>
      </c>
      <c r="S21" s="99">
        <v>39</v>
      </c>
      <c r="T21" s="99">
        <v>22</v>
      </c>
      <c r="U21" s="99" t="s">
        <v>553</v>
      </c>
      <c r="V21" s="99">
        <v>6</v>
      </c>
      <c r="W21" s="99">
        <v>39</v>
      </c>
      <c r="X21" s="99">
        <v>52</v>
      </c>
      <c r="Y21" s="99">
        <v>66</v>
      </c>
      <c r="Z21" s="99">
        <v>54</v>
      </c>
      <c r="AA21" s="99" t="s">
        <v>553</v>
      </c>
      <c r="AB21" s="99" t="s">
        <v>553</v>
      </c>
      <c r="AC21" s="99" t="s">
        <v>553</v>
      </c>
      <c r="AD21" s="98" t="s">
        <v>322</v>
      </c>
      <c r="AE21" s="100">
        <v>0.1325238688252387</v>
      </c>
      <c r="AF21" s="100">
        <v>0.18</v>
      </c>
      <c r="AG21" s="98">
        <v>394.354503943545</v>
      </c>
      <c r="AH21" s="98">
        <v>238.6882523868825</v>
      </c>
      <c r="AI21" s="100">
        <v>0.013000000000000001</v>
      </c>
      <c r="AJ21" s="100">
        <v>0.762078</v>
      </c>
      <c r="AK21" s="100">
        <v>0.76729</v>
      </c>
      <c r="AL21" s="100">
        <v>0.728181</v>
      </c>
      <c r="AM21" s="100">
        <v>0.444668</v>
      </c>
      <c r="AN21" s="100">
        <v>0.532039</v>
      </c>
      <c r="AO21" s="98">
        <v>1203.81901203819</v>
      </c>
      <c r="AP21" s="158">
        <v>0.7291828156</v>
      </c>
      <c r="AQ21" s="100">
        <v>0.12931034482758622</v>
      </c>
      <c r="AR21" s="100">
        <v>0.3333333333333333</v>
      </c>
      <c r="AS21" s="98">
        <v>404.73225404732256</v>
      </c>
      <c r="AT21" s="98">
        <v>228.31050228310502</v>
      </c>
      <c r="AU21" s="98" t="s">
        <v>553</v>
      </c>
      <c r="AV21" s="98">
        <v>62.266500622665006</v>
      </c>
      <c r="AW21" s="98">
        <v>404.73225404732256</v>
      </c>
      <c r="AX21" s="98">
        <v>539.64300539643</v>
      </c>
      <c r="AY21" s="98">
        <v>684.931506849315</v>
      </c>
      <c r="AZ21" s="98">
        <v>560.3985056039851</v>
      </c>
      <c r="BA21" s="100" t="s">
        <v>553</v>
      </c>
      <c r="BB21" s="100" t="s">
        <v>553</v>
      </c>
      <c r="BC21" s="100" t="s">
        <v>553</v>
      </c>
      <c r="BD21" s="158">
        <v>0.6025378417999999</v>
      </c>
      <c r="BE21" s="158">
        <v>0.8745852661000001</v>
      </c>
      <c r="BF21" s="162">
        <v>1097</v>
      </c>
      <c r="BG21" s="162">
        <v>1070</v>
      </c>
      <c r="BH21" s="162">
        <v>2303</v>
      </c>
      <c r="BI21" s="162">
        <v>994</v>
      </c>
      <c r="BJ21" s="162">
        <v>515</v>
      </c>
      <c r="BK21" s="97"/>
      <c r="BL21" s="97"/>
      <c r="BM21" s="97"/>
      <c r="BN21" s="97"/>
    </row>
    <row r="22" spans="1:66" ht="12.75">
      <c r="A22" s="79" t="s">
        <v>507</v>
      </c>
      <c r="B22" s="79" t="s">
        <v>282</v>
      </c>
      <c r="C22" s="79" t="s">
        <v>167</v>
      </c>
      <c r="D22" s="99">
        <v>7254</v>
      </c>
      <c r="E22" s="99">
        <v>1266</v>
      </c>
      <c r="F22" s="99" t="s">
        <v>346</v>
      </c>
      <c r="G22" s="99">
        <v>45</v>
      </c>
      <c r="H22" s="99">
        <v>22</v>
      </c>
      <c r="I22" s="99">
        <v>138</v>
      </c>
      <c r="J22" s="99">
        <v>787</v>
      </c>
      <c r="K22" s="99">
        <v>433</v>
      </c>
      <c r="L22" s="99">
        <v>1548</v>
      </c>
      <c r="M22" s="99">
        <v>564</v>
      </c>
      <c r="N22" s="99">
        <v>363</v>
      </c>
      <c r="O22" s="99">
        <v>220</v>
      </c>
      <c r="P22" s="159">
        <v>220</v>
      </c>
      <c r="Q22" s="99">
        <v>22</v>
      </c>
      <c r="R22" s="99">
        <v>36</v>
      </c>
      <c r="S22" s="99">
        <v>31</v>
      </c>
      <c r="T22" s="99">
        <v>37</v>
      </c>
      <c r="U22" s="99">
        <v>8</v>
      </c>
      <c r="V22" s="99">
        <v>48</v>
      </c>
      <c r="W22" s="99">
        <v>57</v>
      </c>
      <c r="X22" s="99">
        <v>45</v>
      </c>
      <c r="Y22" s="99">
        <v>107</v>
      </c>
      <c r="Z22" s="99">
        <v>46</v>
      </c>
      <c r="AA22" s="99" t="s">
        <v>553</v>
      </c>
      <c r="AB22" s="99" t="s">
        <v>553</v>
      </c>
      <c r="AC22" s="99" t="s">
        <v>553</v>
      </c>
      <c r="AD22" s="98" t="s">
        <v>322</v>
      </c>
      <c r="AE22" s="100">
        <v>0.17452440033085195</v>
      </c>
      <c r="AF22" s="100">
        <v>0.08</v>
      </c>
      <c r="AG22" s="98">
        <v>620.3473945409429</v>
      </c>
      <c r="AH22" s="98">
        <v>303.28094844223875</v>
      </c>
      <c r="AI22" s="100">
        <v>0.019</v>
      </c>
      <c r="AJ22" s="100">
        <v>0.711573</v>
      </c>
      <c r="AK22" s="100">
        <v>0.74271</v>
      </c>
      <c r="AL22" s="100">
        <v>0.811321</v>
      </c>
      <c r="AM22" s="100">
        <v>0.520776</v>
      </c>
      <c r="AN22" s="100">
        <v>0.634615</v>
      </c>
      <c r="AO22" s="98">
        <v>3032.809484422388</v>
      </c>
      <c r="AP22" s="158">
        <v>1.50810318</v>
      </c>
      <c r="AQ22" s="100">
        <v>0.1</v>
      </c>
      <c r="AR22" s="100">
        <v>0.6111111111111112</v>
      </c>
      <c r="AS22" s="98">
        <v>427.35042735042737</v>
      </c>
      <c r="AT22" s="98">
        <v>510.06341328921974</v>
      </c>
      <c r="AU22" s="98">
        <v>110.28398125172319</v>
      </c>
      <c r="AV22" s="98">
        <v>661.7038875103391</v>
      </c>
      <c r="AW22" s="98">
        <v>785.7733664185278</v>
      </c>
      <c r="AX22" s="98">
        <v>620.3473945409429</v>
      </c>
      <c r="AY22" s="98">
        <v>1475.0482492417975</v>
      </c>
      <c r="AZ22" s="98">
        <v>634.1328921974083</v>
      </c>
      <c r="BA22" s="100" t="s">
        <v>553</v>
      </c>
      <c r="BB22" s="100" t="s">
        <v>553</v>
      </c>
      <c r="BC22" s="100" t="s">
        <v>553</v>
      </c>
      <c r="BD22" s="158">
        <v>1.3153913879999999</v>
      </c>
      <c r="BE22" s="158">
        <v>1.721103821</v>
      </c>
      <c r="BF22" s="162">
        <v>1106</v>
      </c>
      <c r="BG22" s="162">
        <v>583</v>
      </c>
      <c r="BH22" s="162">
        <v>1908</v>
      </c>
      <c r="BI22" s="162">
        <v>1083</v>
      </c>
      <c r="BJ22" s="162">
        <v>572</v>
      </c>
      <c r="BK22" s="97"/>
      <c r="BL22" s="97"/>
      <c r="BM22" s="97"/>
      <c r="BN22" s="97"/>
    </row>
    <row r="23" spans="1:66" ht="12.75">
      <c r="A23" s="79" t="s">
        <v>530</v>
      </c>
      <c r="B23" s="79" t="s">
        <v>305</v>
      </c>
      <c r="C23" s="79" t="s">
        <v>167</v>
      </c>
      <c r="D23" s="99">
        <v>11818</v>
      </c>
      <c r="E23" s="99">
        <v>1969</v>
      </c>
      <c r="F23" s="99" t="s">
        <v>345</v>
      </c>
      <c r="G23" s="99">
        <v>59</v>
      </c>
      <c r="H23" s="99">
        <v>25</v>
      </c>
      <c r="I23" s="99">
        <v>135</v>
      </c>
      <c r="J23" s="99">
        <v>1051</v>
      </c>
      <c r="K23" s="99">
        <v>9</v>
      </c>
      <c r="L23" s="99">
        <v>2391</v>
      </c>
      <c r="M23" s="99">
        <v>620</v>
      </c>
      <c r="N23" s="99">
        <v>388</v>
      </c>
      <c r="O23" s="99">
        <v>319</v>
      </c>
      <c r="P23" s="159">
        <v>319</v>
      </c>
      <c r="Q23" s="99">
        <v>23</v>
      </c>
      <c r="R23" s="99">
        <v>63</v>
      </c>
      <c r="S23" s="99">
        <v>62</v>
      </c>
      <c r="T23" s="99">
        <v>58</v>
      </c>
      <c r="U23" s="99">
        <v>12</v>
      </c>
      <c r="V23" s="99">
        <v>51</v>
      </c>
      <c r="W23" s="99">
        <v>91</v>
      </c>
      <c r="X23" s="99">
        <v>77</v>
      </c>
      <c r="Y23" s="99">
        <v>118</v>
      </c>
      <c r="Z23" s="99">
        <v>74</v>
      </c>
      <c r="AA23" s="99" t="s">
        <v>553</v>
      </c>
      <c r="AB23" s="99" t="s">
        <v>553</v>
      </c>
      <c r="AC23" s="99" t="s">
        <v>553</v>
      </c>
      <c r="AD23" s="98" t="s">
        <v>322</v>
      </c>
      <c r="AE23" s="100">
        <v>0.16661025554239295</v>
      </c>
      <c r="AF23" s="100">
        <v>0.13</v>
      </c>
      <c r="AG23" s="98">
        <v>499.238449822305</v>
      </c>
      <c r="AH23" s="98">
        <v>211.5417160264004</v>
      </c>
      <c r="AI23" s="100">
        <v>0.011000000000000001</v>
      </c>
      <c r="AJ23" s="100">
        <v>0.708699</v>
      </c>
      <c r="AK23" s="100">
        <v>0.642857</v>
      </c>
      <c r="AL23" s="100">
        <v>0.786513</v>
      </c>
      <c r="AM23" s="100">
        <v>0.440967</v>
      </c>
      <c r="AN23" s="100">
        <v>0.5337</v>
      </c>
      <c r="AO23" s="98">
        <v>2699.2722964968693</v>
      </c>
      <c r="AP23" s="158">
        <v>1.4071772770000002</v>
      </c>
      <c r="AQ23" s="100">
        <v>0.07210031347962383</v>
      </c>
      <c r="AR23" s="100">
        <v>0.36507936507936506</v>
      </c>
      <c r="AS23" s="98">
        <v>524.623455745473</v>
      </c>
      <c r="AT23" s="98">
        <v>490.77678118124896</v>
      </c>
      <c r="AU23" s="98">
        <v>101.5400236926722</v>
      </c>
      <c r="AV23" s="98">
        <v>431.54510069385685</v>
      </c>
      <c r="AW23" s="98">
        <v>770.0118463360975</v>
      </c>
      <c r="AX23" s="98">
        <v>651.5484853613133</v>
      </c>
      <c r="AY23" s="98">
        <v>998.47689964461</v>
      </c>
      <c r="AZ23" s="98">
        <v>626.1634794381451</v>
      </c>
      <c r="BA23" s="100" t="s">
        <v>553</v>
      </c>
      <c r="BB23" s="100" t="s">
        <v>553</v>
      </c>
      <c r="BC23" s="100" t="s">
        <v>553</v>
      </c>
      <c r="BD23" s="158">
        <v>1.256977615</v>
      </c>
      <c r="BE23" s="158">
        <v>1.570384521</v>
      </c>
      <c r="BF23" s="162">
        <v>1483</v>
      </c>
      <c r="BG23" s="162">
        <v>14</v>
      </c>
      <c r="BH23" s="162">
        <v>3040</v>
      </c>
      <c r="BI23" s="162">
        <v>1406</v>
      </c>
      <c r="BJ23" s="162">
        <v>727</v>
      </c>
      <c r="BK23" s="97"/>
      <c r="BL23" s="97"/>
      <c r="BM23" s="97"/>
      <c r="BN23" s="97"/>
    </row>
    <row r="24" spans="1:66" ht="12.75">
      <c r="A24" s="79" t="s">
        <v>536</v>
      </c>
      <c r="B24" s="79" t="s">
        <v>311</v>
      </c>
      <c r="C24" s="79" t="s">
        <v>167</v>
      </c>
      <c r="D24" s="99">
        <v>3993</v>
      </c>
      <c r="E24" s="99">
        <v>661</v>
      </c>
      <c r="F24" s="99" t="s">
        <v>345</v>
      </c>
      <c r="G24" s="99">
        <v>21</v>
      </c>
      <c r="H24" s="99">
        <v>12</v>
      </c>
      <c r="I24" s="99">
        <v>94</v>
      </c>
      <c r="J24" s="99">
        <v>376</v>
      </c>
      <c r="K24" s="99">
        <v>369</v>
      </c>
      <c r="L24" s="99">
        <v>717</v>
      </c>
      <c r="M24" s="99">
        <v>191</v>
      </c>
      <c r="N24" s="99">
        <v>135</v>
      </c>
      <c r="O24" s="99">
        <v>68</v>
      </c>
      <c r="P24" s="159">
        <v>68</v>
      </c>
      <c r="Q24" s="99" t="s">
        <v>553</v>
      </c>
      <c r="R24" s="99">
        <v>20</v>
      </c>
      <c r="S24" s="99">
        <v>27</v>
      </c>
      <c r="T24" s="99">
        <v>6</v>
      </c>
      <c r="U24" s="99">
        <v>7</v>
      </c>
      <c r="V24" s="99" t="s">
        <v>553</v>
      </c>
      <c r="W24" s="99">
        <v>26</v>
      </c>
      <c r="X24" s="99">
        <v>24</v>
      </c>
      <c r="Y24" s="99">
        <v>33</v>
      </c>
      <c r="Z24" s="99">
        <v>34</v>
      </c>
      <c r="AA24" s="99" t="s">
        <v>553</v>
      </c>
      <c r="AB24" s="99" t="s">
        <v>553</v>
      </c>
      <c r="AC24" s="99" t="s">
        <v>553</v>
      </c>
      <c r="AD24" s="98" t="s">
        <v>322</v>
      </c>
      <c r="AE24" s="100">
        <v>0.1655396944653143</v>
      </c>
      <c r="AF24" s="100">
        <v>0.17</v>
      </c>
      <c r="AG24" s="98">
        <v>525.9203606311045</v>
      </c>
      <c r="AH24" s="98">
        <v>300.5259203606311</v>
      </c>
      <c r="AI24" s="100">
        <v>0.024</v>
      </c>
      <c r="AJ24" s="100">
        <v>0.773663</v>
      </c>
      <c r="AK24" s="100">
        <v>0.780127</v>
      </c>
      <c r="AL24" s="100">
        <v>0.75873</v>
      </c>
      <c r="AM24" s="100">
        <v>0.426339</v>
      </c>
      <c r="AN24" s="100">
        <v>0.564854</v>
      </c>
      <c r="AO24" s="98">
        <v>1702.9802153769097</v>
      </c>
      <c r="AP24" s="158">
        <v>0.9107614898999999</v>
      </c>
      <c r="AQ24" s="100" t="s">
        <v>553</v>
      </c>
      <c r="AR24" s="100" t="s">
        <v>553</v>
      </c>
      <c r="AS24" s="98">
        <v>676.18332081142</v>
      </c>
      <c r="AT24" s="98">
        <v>150.26296018031556</v>
      </c>
      <c r="AU24" s="98">
        <v>175.30678687703482</v>
      </c>
      <c r="AV24" s="98" t="s">
        <v>553</v>
      </c>
      <c r="AW24" s="98">
        <v>651.1394941147007</v>
      </c>
      <c r="AX24" s="98">
        <v>601.0518407212622</v>
      </c>
      <c r="AY24" s="98">
        <v>826.4462809917355</v>
      </c>
      <c r="AZ24" s="98">
        <v>851.4901076884548</v>
      </c>
      <c r="BA24" s="100" t="s">
        <v>553</v>
      </c>
      <c r="BB24" s="100" t="s">
        <v>553</v>
      </c>
      <c r="BC24" s="100" t="s">
        <v>553</v>
      </c>
      <c r="BD24" s="158">
        <v>0.7072419739</v>
      </c>
      <c r="BE24" s="158">
        <v>1.154607239</v>
      </c>
      <c r="BF24" s="162">
        <v>486</v>
      </c>
      <c r="BG24" s="162">
        <v>473</v>
      </c>
      <c r="BH24" s="162">
        <v>945</v>
      </c>
      <c r="BI24" s="162">
        <v>448</v>
      </c>
      <c r="BJ24" s="162">
        <v>239</v>
      </c>
      <c r="BK24" s="97"/>
      <c r="BL24" s="97"/>
      <c r="BM24" s="97"/>
      <c r="BN24" s="97"/>
    </row>
    <row r="25" spans="1:66" ht="12.75">
      <c r="A25" s="79" t="s">
        <v>513</v>
      </c>
      <c r="B25" s="79" t="s">
        <v>288</v>
      </c>
      <c r="C25" s="79" t="s">
        <v>167</v>
      </c>
      <c r="D25" s="99">
        <v>10967</v>
      </c>
      <c r="E25" s="99">
        <v>1655</v>
      </c>
      <c r="F25" s="99" t="s">
        <v>345</v>
      </c>
      <c r="G25" s="99">
        <v>64</v>
      </c>
      <c r="H25" s="99">
        <v>28</v>
      </c>
      <c r="I25" s="99">
        <v>158</v>
      </c>
      <c r="J25" s="99">
        <v>923</v>
      </c>
      <c r="K25" s="99" t="s">
        <v>553</v>
      </c>
      <c r="L25" s="99">
        <v>2060</v>
      </c>
      <c r="M25" s="99">
        <v>571</v>
      </c>
      <c r="N25" s="99">
        <v>370</v>
      </c>
      <c r="O25" s="99">
        <v>318</v>
      </c>
      <c r="P25" s="159">
        <v>318</v>
      </c>
      <c r="Q25" s="99">
        <v>22</v>
      </c>
      <c r="R25" s="99">
        <v>42</v>
      </c>
      <c r="S25" s="99">
        <v>80</v>
      </c>
      <c r="T25" s="99">
        <v>61</v>
      </c>
      <c r="U25" s="99">
        <v>11</v>
      </c>
      <c r="V25" s="99">
        <v>42</v>
      </c>
      <c r="W25" s="99">
        <v>68</v>
      </c>
      <c r="X25" s="99">
        <v>45</v>
      </c>
      <c r="Y25" s="99">
        <v>80</v>
      </c>
      <c r="Z25" s="99">
        <v>68</v>
      </c>
      <c r="AA25" s="99" t="s">
        <v>553</v>
      </c>
      <c r="AB25" s="99" t="s">
        <v>553</v>
      </c>
      <c r="AC25" s="99" t="s">
        <v>553</v>
      </c>
      <c r="AD25" s="98" t="s">
        <v>322</v>
      </c>
      <c r="AE25" s="100">
        <v>0.1509072672563144</v>
      </c>
      <c r="AF25" s="100">
        <v>0.15</v>
      </c>
      <c r="AG25" s="98">
        <v>583.5688884836327</v>
      </c>
      <c r="AH25" s="98">
        <v>255.3113887115893</v>
      </c>
      <c r="AI25" s="100">
        <v>0.013999999999999999</v>
      </c>
      <c r="AJ25" s="100">
        <v>0.727344</v>
      </c>
      <c r="AK25" s="100" t="s">
        <v>553</v>
      </c>
      <c r="AL25" s="100">
        <v>0.76099</v>
      </c>
      <c r="AM25" s="100">
        <v>0.510733</v>
      </c>
      <c r="AN25" s="100">
        <v>0.573643</v>
      </c>
      <c r="AO25" s="98">
        <v>2899.60791465305</v>
      </c>
      <c r="AP25" s="158">
        <v>1.637936249</v>
      </c>
      <c r="AQ25" s="100">
        <v>0.06918238993710692</v>
      </c>
      <c r="AR25" s="100">
        <v>0.5238095238095238</v>
      </c>
      <c r="AS25" s="98">
        <v>729.4611106045409</v>
      </c>
      <c r="AT25" s="98">
        <v>556.2140968359624</v>
      </c>
      <c r="AU25" s="98">
        <v>100.30090270812437</v>
      </c>
      <c r="AV25" s="98">
        <v>382.96708306738395</v>
      </c>
      <c r="AW25" s="98">
        <v>620.0419440138597</v>
      </c>
      <c r="AX25" s="98">
        <v>410.32187471505426</v>
      </c>
      <c r="AY25" s="98">
        <v>729.4611106045409</v>
      </c>
      <c r="AZ25" s="98">
        <v>620.0419440138597</v>
      </c>
      <c r="BA25" s="100" t="s">
        <v>553</v>
      </c>
      <c r="BB25" s="100" t="s">
        <v>553</v>
      </c>
      <c r="BC25" s="100" t="s">
        <v>553</v>
      </c>
      <c r="BD25" s="158">
        <v>1.462838745</v>
      </c>
      <c r="BE25" s="158">
        <v>1.8282220459999998</v>
      </c>
      <c r="BF25" s="162">
        <v>1269</v>
      </c>
      <c r="BG25" s="162" t="s">
        <v>553</v>
      </c>
      <c r="BH25" s="162">
        <v>2707</v>
      </c>
      <c r="BI25" s="162">
        <v>1118</v>
      </c>
      <c r="BJ25" s="162">
        <v>645</v>
      </c>
      <c r="BK25" s="97"/>
      <c r="BL25" s="97"/>
      <c r="BM25" s="97"/>
      <c r="BN25" s="97"/>
    </row>
    <row r="26" spans="1:66" ht="12.75">
      <c r="A26" s="79" t="s">
        <v>508</v>
      </c>
      <c r="B26" s="79" t="s">
        <v>283</v>
      </c>
      <c r="C26" s="79" t="s">
        <v>167</v>
      </c>
      <c r="D26" s="99">
        <v>12167</v>
      </c>
      <c r="E26" s="99">
        <v>2081</v>
      </c>
      <c r="F26" s="99" t="s">
        <v>344</v>
      </c>
      <c r="G26" s="99">
        <v>39</v>
      </c>
      <c r="H26" s="99">
        <v>25</v>
      </c>
      <c r="I26" s="99">
        <v>179</v>
      </c>
      <c r="J26" s="99">
        <v>1233</v>
      </c>
      <c r="K26" s="99">
        <v>1229</v>
      </c>
      <c r="L26" s="99">
        <v>2548</v>
      </c>
      <c r="M26" s="99">
        <v>673</v>
      </c>
      <c r="N26" s="99">
        <v>444</v>
      </c>
      <c r="O26" s="99">
        <v>287</v>
      </c>
      <c r="P26" s="159">
        <v>287</v>
      </c>
      <c r="Q26" s="99">
        <v>20</v>
      </c>
      <c r="R26" s="99">
        <v>62</v>
      </c>
      <c r="S26" s="99">
        <v>62</v>
      </c>
      <c r="T26" s="99">
        <v>57</v>
      </c>
      <c r="U26" s="99">
        <v>10</v>
      </c>
      <c r="V26" s="99">
        <v>38</v>
      </c>
      <c r="W26" s="99">
        <v>77</v>
      </c>
      <c r="X26" s="99">
        <v>54</v>
      </c>
      <c r="Y26" s="99">
        <v>128</v>
      </c>
      <c r="Z26" s="99">
        <v>70</v>
      </c>
      <c r="AA26" s="99" t="s">
        <v>553</v>
      </c>
      <c r="AB26" s="99" t="s">
        <v>553</v>
      </c>
      <c r="AC26" s="99" t="s">
        <v>553</v>
      </c>
      <c r="AD26" s="98" t="s">
        <v>322</v>
      </c>
      <c r="AE26" s="100">
        <v>0.17103640996137093</v>
      </c>
      <c r="AF26" s="100">
        <v>0.11</v>
      </c>
      <c r="AG26" s="98">
        <v>320.53916331059423</v>
      </c>
      <c r="AH26" s="98">
        <v>205.4738226349963</v>
      </c>
      <c r="AI26" s="100">
        <v>0.015</v>
      </c>
      <c r="AJ26" s="100">
        <v>0.747273</v>
      </c>
      <c r="AK26" s="100">
        <v>0.753525</v>
      </c>
      <c r="AL26" s="100">
        <v>0.805819</v>
      </c>
      <c r="AM26" s="100">
        <v>0.439869</v>
      </c>
      <c r="AN26" s="100">
        <v>0.540804</v>
      </c>
      <c r="AO26" s="98">
        <v>2358.8394838497575</v>
      </c>
      <c r="AP26" s="158">
        <v>1.220427322</v>
      </c>
      <c r="AQ26" s="100">
        <v>0.06968641114982578</v>
      </c>
      <c r="AR26" s="100">
        <v>0.3225806451612903</v>
      </c>
      <c r="AS26" s="98">
        <v>509.5750801347908</v>
      </c>
      <c r="AT26" s="98">
        <v>468.48031560779157</v>
      </c>
      <c r="AU26" s="98">
        <v>82.18952905399853</v>
      </c>
      <c r="AV26" s="98">
        <v>312.32021040519436</v>
      </c>
      <c r="AW26" s="98">
        <v>632.8593737157886</v>
      </c>
      <c r="AX26" s="98">
        <v>443.823456891592</v>
      </c>
      <c r="AY26" s="98">
        <v>1052.0259718911811</v>
      </c>
      <c r="AZ26" s="98">
        <v>575.3267033779896</v>
      </c>
      <c r="BA26" s="100" t="s">
        <v>553</v>
      </c>
      <c r="BB26" s="100" t="s">
        <v>553</v>
      </c>
      <c r="BC26" s="100" t="s">
        <v>553</v>
      </c>
      <c r="BD26" s="158">
        <v>1.083302155</v>
      </c>
      <c r="BE26" s="158">
        <v>1.3701039119999998</v>
      </c>
      <c r="BF26" s="162">
        <v>1650</v>
      </c>
      <c r="BG26" s="162">
        <v>1631</v>
      </c>
      <c r="BH26" s="162">
        <v>3162</v>
      </c>
      <c r="BI26" s="162">
        <v>1530</v>
      </c>
      <c r="BJ26" s="162">
        <v>821</v>
      </c>
      <c r="BK26" s="97"/>
      <c r="BL26" s="97"/>
      <c r="BM26" s="97"/>
      <c r="BN26" s="97"/>
    </row>
    <row r="27" spans="1:66" ht="12.75">
      <c r="A27" s="79" t="s">
        <v>518</v>
      </c>
      <c r="B27" s="79" t="s">
        <v>293</v>
      </c>
      <c r="C27" s="79" t="s">
        <v>167</v>
      </c>
      <c r="D27" s="99">
        <v>12923</v>
      </c>
      <c r="E27" s="99">
        <v>2248</v>
      </c>
      <c r="F27" s="99" t="s">
        <v>346</v>
      </c>
      <c r="G27" s="99">
        <v>60</v>
      </c>
      <c r="H27" s="99">
        <v>38</v>
      </c>
      <c r="I27" s="99">
        <v>251</v>
      </c>
      <c r="J27" s="99">
        <v>1391</v>
      </c>
      <c r="K27" s="99">
        <v>11</v>
      </c>
      <c r="L27" s="99">
        <v>2843</v>
      </c>
      <c r="M27" s="99">
        <v>873</v>
      </c>
      <c r="N27" s="99">
        <v>570</v>
      </c>
      <c r="O27" s="99">
        <v>354</v>
      </c>
      <c r="P27" s="159">
        <v>354</v>
      </c>
      <c r="Q27" s="99">
        <v>35</v>
      </c>
      <c r="R27" s="99">
        <v>73</v>
      </c>
      <c r="S27" s="99">
        <v>67</v>
      </c>
      <c r="T27" s="99">
        <v>55</v>
      </c>
      <c r="U27" s="99">
        <v>19</v>
      </c>
      <c r="V27" s="99">
        <v>51</v>
      </c>
      <c r="W27" s="99">
        <v>91</v>
      </c>
      <c r="X27" s="99">
        <v>63</v>
      </c>
      <c r="Y27" s="99">
        <v>160</v>
      </c>
      <c r="Z27" s="99">
        <v>103</v>
      </c>
      <c r="AA27" s="99" t="s">
        <v>553</v>
      </c>
      <c r="AB27" s="99" t="s">
        <v>553</v>
      </c>
      <c r="AC27" s="99" t="s">
        <v>553</v>
      </c>
      <c r="AD27" s="98" t="s">
        <v>322</v>
      </c>
      <c r="AE27" s="100">
        <v>0.17395341638938328</v>
      </c>
      <c r="AF27" s="100">
        <v>0.09</v>
      </c>
      <c r="AG27" s="98">
        <v>464.2884779076066</v>
      </c>
      <c r="AH27" s="98">
        <v>294.0493693414842</v>
      </c>
      <c r="AI27" s="100">
        <v>0.019</v>
      </c>
      <c r="AJ27" s="100">
        <v>0.737149</v>
      </c>
      <c r="AK27" s="100">
        <v>0.52381</v>
      </c>
      <c r="AL27" s="100">
        <v>0.847139</v>
      </c>
      <c r="AM27" s="100">
        <v>0.499142</v>
      </c>
      <c r="AN27" s="100">
        <v>0.608974</v>
      </c>
      <c r="AO27" s="98">
        <v>2739.3020196548787</v>
      </c>
      <c r="AP27" s="158">
        <v>1.3647637940000001</v>
      </c>
      <c r="AQ27" s="100">
        <v>0.09887005649717515</v>
      </c>
      <c r="AR27" s="100">
        <v>0.4794520547945205</v>
      </c>
      <c r="AS27" s="98">
        <v>518.4554669968273</v>
      </c>
      <c r="AT27" s="98">
        <v>425.59777141530606</v>
      </c>
      <c r="AU27" s="98">
        <v>147.0246846707421</v>
      </c>
      <c r="AV27" s="98">
        <v>394.6452062214656</v>
      </c>
      <c r="AW27" s="98">
        <v>704.17085815987</v>
      </c>
      <c r="AX27" s="98">
        <v>487.5029018029869</v>
      </c>
      <c r="AY27" s="98">
        <v>1238.1026077536176</v>
      </c>
      <c r="AZ27" s="98">
        <v>797.0285537413913</v>
      </c>
      <c r="BA27" s="101" t="s">
        <v>553</v>
      </c>
      <c r="BB27" s="101" t="s">
        <v>553</v>
      </c>
      <c r="BC27" s="101" t="s">
        <v>553</v>
      </c>
      <c r="BD27" s="158">
        <v>1.2262811279999999</v>
      </c>
      <c r="BE27" s="158">
        <v>1.514604034</v>
      </c>
      <c r="BF27" s="162">
        <v>1887</v>
      </c>
      <c r="BG27" s="162">
        <v>21</v>
      </c>
      <c r="BH27" s="162">
        <v>3356</v>
      </c>
      <c r="BI27" s="162">
        <v>1749</v>
      </c>
      <c r="BJ27" s="162">
        <v>936</v>
      </c>
      <c r="BK27" s="97"/>
      <c r="BL27" s="97"/>
      <c r="BM27" s="97"/>
      <c r="BN27" s="97"/>
    </row>
    <row r="28" spans="1:66" ht="12.75">
      <c r="A28" s="79" t="s">
        <v>540</v>
      </c>
      <c r="B28" s="79" t="s">
        <v>315</v>
      </c>
      <c r="C28" s="79" t="s">
        <v>167</v>
      </c>
      <c r="D28" s="99">
        <v>2714</v>
      </c>
      <c r="E28" s="99">
        <v>374</v>
      </c>
      <c r="F28" s="99" t="s">
        <v>345</v>
      </c>
      <c r="G28" s="99">
        <v>15</v>
      </c>
      <c r="H28" s="99">
        <v>8</v>
      </c>
      <c r="I28" s="99">
        <v>21</v>
      </c>
      <c r="J28" s="99">
        <v>200</v>
      </c>
      <c r="K28" s="99">
        <v>197</v>
      </c>
      <c r="L28" s="99">
        <v>490</v>
      </c>
      <c r="M28" s="99">
        <v>117</v>
      </c>
      <c r="N28" s="99">
        <v>66</v>
      </c>
      <c r="O28" s="99">
        <v>49</v>
      </c>
      <c r="P28" s="159">
        <v>49</v>
      </c>
      <c r="Q28" s="99" t="s">
        <v>553</v>
      </c>
      <c r="R28" s="99">
        <v>8</v>
      </c>
      <c r="S28" s="99">
        <v>7</v>
      </c>
      <c r="T28" s="99">
        <v>8</v>
      </c>
      <c r="U28" s="99" t="s">
        <v>553</v>
      </c>
      <c r="V28" s="99" t="s">
        <v>553</v>
      </c>
      <c r="W28" s="99">
        <v>17</v>
      </c>
      <c r="X28" s="99">
        <v>11</v>
      </c>
      <c r="Y28" s="99">
        <v>28</v>
      </c>
      <c r="Z28" s="99">
        <v>19</v>
      </c>
      <c r="AA28" s="99" t="s">
        <v>553</v>
      </c>
      <c r="AB28" s="99" t="s">
        <v>553</v>
      </c>
      <c r="AC28" s="99" t="s">
        <v>553</v>
      </c>
      <c r="AD28" s="98" t="s">
        <v>322</v>
      </c>
      <c r="AE28" s="100">
        <v>0.13780397936624908</v>
      </c>
      <c r="AF28" s="100">
        <v>0.14</v>
      </c>
      <c r="AG28" s="98">
        <v>552.689756816507</v>
      </c>
      <c r="AH28" s="98">
        <v>294.76787030213706</v>
      </c>
      <c r="AI28" s="100">
        <v>0.008</v>
      </c>
      <c r="AJ28" s="100">
        <v>0.666667</v>
      </c>
      <c r="AK28" s="100">
        <v>0.681661</v>
      </c>
      <c r="AL28" s="100">
        <v>0.744681</v>
      </c>
      <c r="AM28" s="100">
        <v>0.413428</v>
      </c>
      <c r="AN28" s="100">
        <v>0.461538</v>
      </c>
      <c r="AO28" s="98">
        <v>1805.4532056005896</v>
      </c>
      <c r="AP28" s="158">
        <v>1.043323593</v>
      </c>
      <c r="AQ28" s="100" t="s">
        <v>553</v>
      </c>
      <c r="AR28" s="100" t="s">
        <v>553</v>
      </c>
      <c r="AS28" s="98">
        <v>257.92188651436993</v>
      </c>
      <c r="AT28" s="98">
        <v>294.76787030213706</v>
      </c>
      <c r="AU28" s="98" t="s">
        <v>553</v>
      </c>
      <c r="AV28" s="98" t="s">
        <v>553</v>
      </c>
      <c r="AW28" s="98">
        <v>626.3817243920413</v>
      </c>
      <c r="AX28" s="98">
        <v>405.3058216654385</v>
      </c>
      <c r="AY28" s="98">
        <v>1031.6875460574797</v>
      </c>
      <c r="AZ28" s="98">
        <v>700.0736919675755</v>
      </c>
      <c r="BA28" s="100" t="s">
        <v>553</v>
      </c>
      <c r="BB28" s="100" t="s">
        <v>553</v>
      </c>
      <c r="BC28" s="100" t="s">
        <v>553</v>
      </c>
      <c r="BD28" s="158">
        <v>0.7718565369</v>
      </c>
      <c r="BE28" s="158">
        <v>1.379329224</v>
      </c>
      <c r="BF28" s="162">
        <v>300</v>
      </c>
      <c r="BG28" s="162">
        <v>289</v>
      </c>
      <c r="BH28" s="162">
        <v>658</v>
      </c>
      <c r="BI28" s="162">
        <v>283</v>
      </c>
      <c r="BJ28" s="162">
        <v>143</v>
      </c>
      <c r="BK28" s="97"/>
      <c r="BL28" s="97"/>
      <c r="BM28" s="97"/>
      <c r="BN28" s="97"/>
    </row>
    <row r="29" spans="1:66" ht="12.75">
      <c r="A29" s="79" t="s">
        <v>544</v>
      </c>
      <c r="B29" s="79" t="s">
        <v>319</v>
      </c>
      <c r="C29" s="79" t="s">
        <v>167</v>
      </c>
      <c r="D29" s="99">
        <v>2463</v>
      </c>
      <c r="E29" s="99">
        <v>434</v>
      </c>
      <c r="F29" s="99" t="s">
        <v>344</v>
      </c>
      <c r="G29" s="99">
        <v>18</v>
      </c>
      <c r="H29" s="99">
        <v>6</v>
      </c>
      <c r="I29" s="99">
        <v>32</v>
      </c>
      <c r="J29" s="99">
        <v>254</v>
      </c>
      <c r="K29" s="99">
        <v>251</v>
      </c>
      <c r="L29" s="99">
        <v>504</v>
      </c>
      <c r="M29" s="99">
        <v>166</v>
      </c>
      <c r="N29" s="99">
        <v>110</v>
      </c>
      <c r="O29" s="99">
        <v>50</v>
      </c>
      <c r="P29" s="159">
        <v>50</v>
      </c>
      <c r="Q29" s="99" t="s">
        <v>553</v>
      </c>
      <c r="R29" s="99">
        <v>9</v>
      </c>
      <c r="S29" s="99">
        <v>14</v>
      </c>
      <c r="T29" s="99">
        <v>7</v>
      </c>
      <c r="U29" s="99" t="s">
        <v>553</v>
      </c>
      <c r="V29" s="99">
        <v>14</v>
      </c>
      <c r="W29" s="99">
        <v>16</v>
      </c>
      <c r="X29" s="99">
        <v>6</v>
      </c>
      <c r="Y29" s="99">
        <v>15</v>
      </c>
      <c r="Z29" s="99">
        <v>16</v>
      </c>
      <c r="AA29" s="99" t="s">
        <v>553</v>
      </c>
      <c r="AB29" s="99" t="s">
        <v>553</v>
      </c>
      <c r="AC29" s="99" t="s">
        <v>553</v>
      </c>
      <c r="AD29" s="98" t="s">
        <v>322</v>
      </c>
      <c r="AE29" s="100">
        <v>0.1762078765732846</v>
      </c>
      <c r="AF29" s="100">
        <v>0.09</v>
      </c>
      <c r="AG29" s="98">
        <v>730.816077953715</v>
      </c>
      <c r="AH29" s="98">
        <v>243.605359317905</v>
      </c>
      <c r="AI29" s="100">
        <v>0.013000000000000001</v>
      </c>
      <c r="AJ29" s="100">
        <v>0.806349</v>
      </c>
      <c r="AK29" s="100">
        <v>0.812298</v>
      </c>
      <c r="AL29" s="100">
        <v>0.815534</v>
      </c>
      <c r="AM29" s="100">
        <v>0.549669</v>
      </c>
      <c r="AN29" s="100">
        <v>0.670732</v>
      </c>
      <c r="AO29" s="98">
        <v>2030.0446609825417</v>
      </c>
      <c r="AP29" s="158">
        <v>1.047148666</v>
      </c>
      <c r="AQ29" s="100" t="s">
        <v>553</v>
      </c>
      <c r="AR29" s="100" t="s">
        <v>553</v>
      </c>
      <c r="AS29" s="98">
        <v>568.4125050751117</v>
      </c>
      <c r="AT29" s="98">
        <v>284.2062525375558</v>
      </c>
      <c r="AU29" s="98" t="s">
        <v>553</v>
      </c>
      <c r="AV29" s="98">
        <v>568.4125050751117</v>
      </c>
      <c r="AW29" s="98">
        <v>649.6142915144134</v>
      </c>
      <c r="AX29" s="98">
        <v>243.605359317905</v>
      </c>
      <c r="AY29" s="98">
        <v>609.0133982947625</v>
      </c>
      <c r="AZ29" s="98">
        <v>649.6142915144134</v>
      </c>
      <c r="BA29" s="100" t="s">
        <v>553</v>
      </c>
      <c r="BB29" s="100" t="s">
        <v>553</v>
      </c>
      <c r="BC29" s="100" t="s">
        <v>553</v>
      </c>
      <c r="BD29" s="158">
        <v>0.7772138977</v>
      </c>
      <c r="BE29" s="158">
        <v>1.380534973</v>
      </c>
      <c r="BF29" s="162">
        <v>315</v>
      </c>
      <c r="BG29" s="162">
        <v>309</v>
      </c>
      <c r="BH29" s="162">
        <v>618</v>
      </c>
      <c r="BI29" s="162">
        <v>302</v>
      </c>
      <c r="BJ29" s="162">
        <v>164</v>
      </c>
      <c r="BK29" s="97"/>
      <c r="BL29" s="97"/>
      <c r="BM29" s="97"/>
      <c r="BN29" s="97"/>
    </row>
    <row r="30" spans="1:66" ht="12.75">
      <c r="A30" s="79" t="s">
        <v>539</v>
      </c>
      <c r="B30" s="79" t="s">
        <v>314</v>
      </c>
      <c r="C30" s="79" t="s">
        <v>167</v>
      </c>
      <c r="D30" s="99">
        <v>7387</v>
      </c>
      <c r="E30" s="99">
        <v>1165</v>
      </c>
      <c r="F30" s="99" t="s">
        <v>344</v>
      </c>
      <c r="G30" s="99">
        <v>29</v>
      </c>
      <c r="H30" s="99">
        <v>22</v>
      </c>
      <c r="I30" s="99">
        <v>118</v>
      </c>
      <c r="J30" s="99">
        <v>694</v>
      </c>
      <c r="K30" s="99">
        <v>711</v>
      </c>
      <c r="L30" s="99">
        <v>1570</v>
      </c>
      <c r="M30" s="99">
        <v>469</v>
      </c>
      <c r="N30" s="99">
        <v>298</v>
      </c>
      <c r="O30" s="99">
        <v>111</v>
      </c>
      <c r="P30" s="159">
        <v>111</v>
      </c>
      <c r="Q30" s="99">
        <v>26</v>
      </c>
      <c r="R30" s="99">
        <v>37</v>
      </c>
      <c r="S30" s="99">
        <v>19</v>
      </c>
      <c r="T30" s="99">
        <v>28</v>
      </c>
      <c r="U30" s="99">
        <v>7</v>
      </c>
      <c r="V30" s="99">
        <v>9</v>
      </c>
      <c r="W30" s="99">
        <v>58</v>
      </c>
      <c r="X30" s="99">
        <v>24</v>
      </c>
      <c r="Y30" s="99">
        <v>77</v>
      </c>
      <c r="Z30" s="99">
        <v>48</v>
      </c>
      <c r="AA30" s="99" t="s">
        <v>553</v>
      </c>
      <c r="AB30" s="99" t="s">
        <v>553</v>
      </c>
      <c r="AC30" s="99" t="s">
        <v>553</v>
      </c>
      <c r="AD30" s="98" t="s">
        <v>322</v>
      </c>
      <c r="AE30" s="100">
        <v>0.15770948964396914</v>
      </c>
      <c r="AF30" s="100">
        <v>0.11</v>
      </c>
      <c r="AG30" s="98">
        <v>392.58156220387167</v>
      </c>
      <c r="AH30" s="98">
        <v>297.8204954650061</v>
      </c>
      <c r="AI30" s="100">
        <v>0.016</v>
      </c>
      <c r="AJ30" s="100">
        <v>0.712526</v>
      </c>
      <c r="AK30" s="100">
        <v>0.762058</v>
      </c>
      <c r="AL30" s="100">
        <v>0.810114</v>
      </c>
      <c r="AM30" s="100">
        <v>0.50268</v>
      </c>
      <c r="AN30" s="100">
        <v>0.590099</v>
      </c>
      <c r="AO30" s="98">
        <v>1502.6397725734398</v>
      </c>
      <c r="AP30" s="158">
        <v>0.8026372528</v>
      </c>
      <c r="AQ30" s="100">
        <v>0.23423423423423423</v>
      </c>
      <c r="AR30" s="100">
        <v>0.7027027027027027</v>
      </c>
      <c r="AS30" s="98">
        <v>257.208609719778</v>
      </c>
      <c r="AT30" s="98">
        <v>379.0442669554623</v>
      </c>
      <c r="AU30" s="98">
        <v>94.76106673886558</v>
      </c>
      <c r="AV30" s="98">
        <v>121.83565723568431</v>
      </c>
      <c r="AW30" s="98">
        <v>785.1631244077433</v>
      </c>
      <c r="AX30" s="98">
        <v>324.8950859618248</v>
      </c>
      <c r="AY30" s="98">
        <v>1042.3717341275212</v>
      </c>
      <c r="AZ30" s="98">
        <v>649.7901719236496</v>
      </c>
      <c r="BA30" s="100" t="s">
        <v>553</v>
      </c>
      <c r="BB30" s="100" t="s">
        <v>553</v>
      </c>
      <c r="BC30" s="100" t="s">
        <v>553</v>
      </c>
      <c r="BD30" s="158">
        <v>0.6602835846</v>
      </c>
      <c r="BE30" s="158">
        <v>0.9665823364</v>
      </c>
      <c r="BF30" s="162">
        <v>974</v>
      </c>
      <c r="BG30" s="162">
        <v>933</v>
      </c>
      <c r="BH30" s="162">
        <v>1938</v>
      </c>
      <c r="BI30" s="162">
        <v>933</v>
      </c>
      <c r="BJ30" s="162">
        <v>505</v>
      </c>
      <c r="BK30" s="97"/>
      <c r="BL30" s="97"/>
      <c r="BM30" s="97"/>
      <c r="BN30" s="97"/>
    </row>
    <row r="31" spans="1:66" ht="12.75">
      <c r="A31" s="79" t="s">
        <v>543</v>
      </c>
      <c r="B31" s="79" t="s">
        <v>318</v>
      </c>
      <c r="C31" s="79" t="s">
        <v>167</v>
      </c>
      <c r="D31" s="99">
        <v>2518</v>
      </c>
      <c r="E31" s="99">
        <v>469</v>
      </c>
      <c r="F31" s="99" t="s">
        <v>345</v>
      </c>
      <c r="G31" s="99">
        <v>16</v>
      </c>
      <c r="H31" s="99">
        <v>10</v>
      </c>
      <c r="I31" s="99">
        <v>59</v>
      </c>
      <c r="J31" s="99">
        <v>310</v>
      </c>
      <c r="K31" s="99">
        <v>287</v>
      </c>
      <c r="L31" s="99">
        <v>501</v>
      </c>
      <c r="M31" s="99">
        <v>188</v>
      </c>
      <c r="N31" s="99">
        <v>123</v>
      </c>
      <c r="O31" s="99">
        <v>62</v>
      </c>
      <c r="P31" s="159">
        <v>62</v>
      </c>
      <c r="Q31" s="99">
        <v>14</v>
      </c>
      <c r="R31" s="99">
        <v>23</v>
      </c>
      <c r="S31" s="99">
        <v>19</v>
      </c>
      <c r="T31" s="99">
        <v>12</v>
      </c>
      <c r="U31" s="99" t="s">
        <v>553</v>
      </c>
      <c r="V31" s="99">
        <v>6</v>
      </c>
      <c r="W31" s="99">
        <v>19</v>
      </c>
      <c r="X31" s="99">
        <v>12</v>
      </c>
      <c r="Y31" s="99">
        <v>21</v>
      </c>
      <c r="Z31" s="99">
        <v>17</v>
      </c>
      <c r="AA31" s="99" t="s">
        <v>553</v>
      </c>
      <c r="AB31" s="99" t="s">
        <v>553</v>
      </c>
      <c r="AC31" s="99" t="s">
        <v>553</v>
      </c>
      <c r="AD31" s="98" t="s">
        <v>322</v>
      </c>
      <c r="AE31" s="100">
        <v>0.1862589356632248</v>
      </c>
      <c r="AF31" s="100">
        <v>0.13</v>
      </c>
      <c r="AG31" s="98">
        <v>635.4249404289118</v>
      </c>
      <c r="AH31" s="98">
        <v>397.1405877680699</v>
      </c>
      <c r="AI31" s="100">
        <v>0.023</v>
      </c>
      <c r="AJ31" s="100">
        <v>0.846995</v>
      </c>
      <c r="AK31" s="100">
        <v>0.808451</v>
      </c>
      <c r="AL31" s="100">
        <v>0.806763</v>
      </c>
      <c r="AM31" s="100">
        <v>0.5</v>
      </c>
      <c r="AN31" s="100">
        <v>0.588517</v>
      </c>
      <c r="AO31" s="98">
        <v>2462.271644162033</v>
      </c>
      <c r="AP31" s="158">
        <v>1.200677948</v>
      </c>
      <c r="AQ31" s="100">
        <v>0.22580645161290322</v>
      </c>
      <c r="AR31" s="100">
        <v>0.6086956521739131</v>
      </c>
      <c r="AS31" s="98">
        <v>754.5671167593327</v>
      </c>
      <c r="AT31" s="98">
        <v>476.56870532168386</v>
      </c>
      <c r="AU31" s="98" t="s">
        <v>553</v>
      </c>
      <c r="AV31" s="98">
        <v>238.28435266084193</v>
      </c>
      <c r="AW31" s="98">
        <v>754.5671167593327</v>
      </c>
      <c r="AX31" s="98">
        <v>476.56870532168386</v>
      </c>
      <c r="AY31" s="98">
        <v>833.9952343129468</v>
      </c>
      <c r="AZ31" s="98">
        <v>675.1389992057188</v>
      </c>
      <c r="BA31" s="100" t="s">
        <v>553</v>
      </c>
      <c r="BB31" s="100" t="s">
        <v>553</v>
      </c>
      <c r="BC31" s="100" t="s">
        <v>553</v>
      </c>
      <c r="BD31" s="158">
        <v>0.9205529022000001</v>
      </c>
      <c r="BE31" s="158">
        <v>1.539214935</v>
      </c>
      <c r="BF31" s="162">
        <v>366</v>
      </c>
      <c r="BG31" s="162">
        <v>355</v>
      </c>
      <c r="BH31" s="162">
        <v>621</v>
      </c>
      <c r="BI31" s="162">
        <v>376</v>
      </c>
      <c r="BJ31" s="162">
        <v>209</v>
      </c>
      <c r="BK31" s="97"/>
      <c r="BL31" s="97"/>
      <c r="BM31" s="97"/>
      <c r="BN31" s="97"/>
    </row>
    <row r="32" spans="1:66" ht="12.75">
      <c r="A32" s="79" t="s">
        <v>511</v>
      </c>
      <c r="B32" s="79" t="s">
        <v>286</v>
      </c>
      <c r="C32" s="79" t="s">
        <v>167</v>
      </c>
      <c r="D32" s="99">
        <v>10430</v>
      </c>
      <c r="E32" s="99">
        <v>1660</v>
      </c>
      <c r="F32" s="99" t="s">
        <v>345</v>
      </c>
      <c r="G32" s="99">
        <v>56</v>
      </c>
      <c r="H32" s="99">
        <v>31</v>
      </c>
      <c r="I32" s="99">
        <v>176</v>
      </c>
      <c r="J32" s="99">
        <v>1013</v>
      </c>
      <c r="K32" s="99">
        <v>6</v>
      </c>
      <c r="L32" s="99">
        <v>2067</v>
      </c>
      <c r="M32" s="99">
        <v>613</v>
      </c>
      <c r="N32" s="99">
        <v>402</v>
      </c>
      <c r="O32" s="99">
        <v>259</v>
      </c>
      <c r="P32" s="159">
        <v>259</v>
      </c>
      <c r="Q32" s="99">
        <v>38</v>
      </c>
      <c r="R32" s="99">
        <v>72</v>
      </c>
      <c r="S32" s="99">
        <v>51</v>
      </c>
      <c r="T32" s="99">
        <v>50</v>
      </c>
      <c r="U32" s="99">
        <v>21</v>
      </c>
      <c r="V32" s="99">
        <v>19</v>
      </c>
      <c r="W32" s="99">
        <v>80</v>
      </c>
      <c r="X32" s="99">
        <v>46</v>
      </c>
      <c r="Y32" s="99">
        <v>111</v>
      </c>
      <c r="Z32" s="99">
        <v>81</v>
      </c>
      <c r="AA32" s="99" t="s">
        <v>553</v>
      </c>
      <c r="AB32" s="99" t="s">
        <v>553</v>
      </c>
      <c r="AC32" s="99" t="s">
        <v>553</v>
      </c>
      <c r="AD32" s="98" t="s">
        <v>322</v>
      </c>
      <c r="AE32" s="100">
        <v>0.15915627996164908</v>
      </c>
      <c r="AF32" s="100">
        <v>0.17</v>
      </c>
      <c r="AG32" s="98">
        <v>536.9127516778524</v>
      </c>
      <c r="AH32" s="98">
        <v>297.2195589645254</v>
      </c>
      <c r="AI32" s="100">
        <v>0.017</v>
      </c>
      <c r="AJ32" s="100">
        <v>0.736727</v>
      </c>
      <c r="AK32" s="100">
        <v>0.545455</v>
      </c>
      <c r="AL32" s="100">
        <v>0.761887</v>
      </c>
      <c r="AM32" s="100">
        <v>0.486122</v>
      </c>
      <c r="AN32" s="100">
        <v>0.586006</v>
      </c>
      <c r="AO32" s="98">
        <v>2483.221476510067</v>
      </c>
      <c r="AP32" s="158">
        <v>1.3155986020000001</v>
      </c>
      <c r="AQ32" s="100">
        <v>0.14671814671814673</v>
      </c>
      <c r="AR32" s="100">
        <v>0.5277777777777778</v>
      </c>
      <c r="AS32" s="98">
        <v>488.97411313518694</v>
      </c>
      <c r="AT32" s="98">
        <v>479.3863854266539</v>
      </c>
      <c r="AU32" s="98">
        <v>201.34228187919464</v>
      </c>
      <c r="AV32" s="98">
        <v>182.16682646212848</v>
      </c>
      <c r="AW32" s="98">
        <v>767.0182166826462</v>
      </c>
      <c r="AX32" s="98">
        <v>441.03547459252155</v>
      </c>
      <c r="AY32" s="98">
        <v>1064.2377756471717</v>
      </c>
      <c r="AZ32" s="98">
        <v>776.6059443911793</v>
      </c>
      <c r="BA32" s="100" t="s">
        <v>553</v>
      </c>
      <c r="BB32" s="100" t="s">
        <v>553</v>
      </c>
      <c r="BC32" s="100" t="s">
        <v>553</v>
      </c>
      <c r="BD32" s="158">
        <v>1.160240707</v>
      </c>
      <c r="BE32" s="158">
        <v>1.4859645080000001</v>
      </c>
      <c r="BF32" s="162">
        <v>1375</v>
      </c>
      <c r="BG32" s="162">
        <v>11</v>
      </c>
      <c r="BH32" s="162">
        <v>2713</v>
      </c>
      <c r="BI32" s="162">
        <v>1261</v>
      </c>
      <c r="BJ32" s="162">
        <v>686</v>
      </c>
      <c r="BK32" s="97"/>
      <c r="BL32" s="97"/>
      <c r="BM32" s="97"/>
      <c r="BN32" s="97"/>
    </row>
    <row r="33" spans="1:66" ht="12.75">
      <c r="A33" s="79" t="s">
        <v>515</v>
      </c>
      <c r="B33" s="79" t="s">
        <v>290</v>
      </c>
      <c r="C33" s="79" t="s">
        <v>167</v>
      </c>
      <c r="D33" s="99">
        <v>6698</v>
      </c>
      <c r="E33" s="99">
        <v>1313</v>
      </c>
      <c r="F33" s="99" t="s">
        <v>342</v>
      </c>
      <c r="G33" s="99">
        <v>46</v>
      </c>
      <c r="H33" s="99">
        <v>24</v>
      </c>
      <c r="I33" s="99">
        <v>143</v>
      </c>
      <c r="J33" s="99">
        <v>613</v>
      </c>
      <c r="K33" s="99">
        <v>603</v>
      </c>
      <c r="L33" s="99">
        <v>1059</v>
      </c>
      <c r="M33" s="99">
        <v>420</v>
      </c>
      <c r="N33" s="99">
        <v>266</v>
      </c>
      <c r="O33" s="99">
        <v>156</v>
      </c>
      <c r="P33" s="159">
        <v>156</v>
      </c>
      <c r="Q33" s="99">
        <v>16</v>
      </c>
      <c r="R33" s="99">
        <v>42</v>
      </c>
      <c r="S33" s="99">
        <v>25</v>
      </c>
      <c r="T33" s="99">
        <v>24</v>
      </c>
      <c r="U33" s="99">
        <v>14</v>
      </c>
      <c r="V33" s="99">
        <v>22</v>
      </c>
      <c r="W33" s="99">
        <v>77</v>
      </c>
      <c r="X33" s="99">
        <v>53</v>
      </c>
      <c r="Y33" s="99">
        <v>69</v>
      </c>
      <c r="Z33" s="99">
        <v>69</v>
      </c>
      <c r="AA33" s="99" t="s">
        <v>553</v>
      </c>
      <c r="AB33" s="99" t="s">
        <v>553</v>
      </c>
      <c r="AC33" s="99" t="s">
        <v>553</v>
      </c>
      <c r="AD33" s="98" t="s">
        <v>322</v>
      </c>
      <c r="AE33" s="100">
        <v>0.19602866527321589</v>
      </c>
      <c r="AF33" s="100">
        <v>0.21</v>
      </c>
      <c r="AG33" s="98">
        <v>686.7721707972529</v>
      </c>
      <c r="AH33" s="98">
        <v>358.31591519856676</v>
      </c>
      <c r="AI33" s="100">
        <v>0.021</v>
      </c>
      <c r="AJ33" s="100">
        <v>0.688764</v>
      </c>
      <c r="AK33" s="100">
        <v>0.735366</v>
      </c>
      <c r="AL33" s="100">
        <v>0.698549</v>
      </c>
      <c r="AM33" s="100">
        <v>0.475113</v>
      </c>
      <c r="AN33" s="100">
        <v>0.537374</v>
      </c>
      <c r="AO33" s="98">
        <v>2329.053448790684</v>
      </c>
      <c r="AP33" s="158">
        <v>1.160632324</v>
      </c>
      <c r="AQ33" s="100">
        <v>0.10256410256410256</v>
      </c>
      <c r="AR33" s="100">
        <v>0.38095238095238093</v>
      </c>
      <c r="AS33" s="98">
        <v>373.245744998507</v>
      </c>
      <c r="AT33" s="98">
        <v>358.31591519856676</v>
      </c>
      <c r="AU33" s="98">
        <v>209.01761719916394</v>
      </c>
      <c r="AV33" s="98">
        <v>328.4562555986862</v>
      </c>
      <c r="AW33" s="98">
        <v>1149.5968945954016</v>
      </c>
      <c r="AX33" s="98">
        <v>791.2809793968348</v>
      </c>
      <c r="AY33" s="98">
        <v>1030.1582561958794</v>
      </c>
      <c r="AZ33" s="98">
        <v>1030.1582561958794</v>
      </c>
      <c r="BA33" s="100" t="s">
        <v>553</v>
      </c>
      <c r="BB33" s="100" t="s">
        <v>553</v>
      </c>
      <c r="BC33" s="100" t="s">
        <v>553</v>
      </c>
      <c r="BD33" s="158">
        <v>0.9856485748</v>
      </c>
      <c r="BE33" s="158">
        <v>1.357726288</v>
      </c>
      <c r="BF33" s="162">
        <v>890</v>
      </c>
      <c r="BG33" s="162">
        <v>820</v>
      </c>
      <c r="BH33" s="162">
        <v>1516</v>
      </c>
      <c r="BI33" s="162">
        <v>884</v>
      </c>
      <c r="BJ33" s="162">
        <v>495</v>
      </c>
      <c r="BK33" s="97"/>
      <c r="BL33" s="97"/>
      <c r="BM33" s="97"/>
      <c r="BN33" s="97"/>
    </row>
    <row r="34" spans="1:66" ht="12.75">
      <c r="A34" s="79" t="s">
        <v>523</v>
      </c>
      <c r="B34" s="79" t="s">
        <v>298</v>
      </c>
      <c r="C34" s="79" t="s">
        <v>167</v>
      </c>
      <c r="D34" s="99">
        <v>7684</v>
      </c>
      <c r="E34" s="99">
        <v>1134</v>
      </c>
      <c r="F34" s="99" t="s">
        <v>344</v>
      </c>
      <c r="G34" s="99">
        <v>38</v>
      </c>
      <c r="H34" s="99">
        <v>25</v>
      </c>
      <c r="I34" s="99">
        <v>80</v>
      </c>
      <c r="J34" s="99">
        <v>774</v>
      </c>
      <c r="K34" s="99" t="s">
        <v>553</v>
      </c>
      <c r="L34" s="99">
        <v>1631</v>
      </c>
      <c r="M34" s="99">
        <v>403</v>
      </c>
      <c r="N34" s="99">
        <v>252</v>
      </c>
      <c r="O34" s="99">
        <v>180</v>
      </c>
      <c r="P34" s="159">
        <v>180</v>
      </c>
      <c r="Q34" s="99">
        <v>14</v>
      </c>
      <c r="R34" s="99">
        <v>32</v>
      </c>
      <c r="S34" s="99">
        <v>45</v>
      </c>
      <c r="T34" s="99">
        <v>27</v>
      </c>
      <c r="U34" s="99">
        <v>7</v>
      </c>
      <c r="V34" s="99">
        <v>29</v>
      </c>
      <c r="W34" s="99">
        <v>60</v>
      </c>
      <c r="X34" s="99">
        <v>47</v>
      </c>
      <c r="Y34" s="99">
        <v>95</v>
      </c>
      <c r="Z34" s="99">
        <v>39</v>
      </c>
      <c r="AA34" s="99" t="s">
        <v>553</v>
      </c>
      <c r="AB34" s="99" t="s">
        <v>553</v>
      </c>
      <c r="AC34" s="99" t="s">
        <v>553</v>
      </c>
      <c r="AD34" s="98" t="s">
        <v>322</v>
      </c>
      <c r="AE34" s="100">
        <v>0.14757938573659551</v>
      </c>
      <c r="AF34" s="100">
        <v>0.09</v>
      </c>
      <c r="AG34" s="98">
        <v>494.53409682457055</v>
      </c>
      <c r="AH34" s="98">
        <v>325.351379489849</v>
      </c>
      <c r="AI34" s="100">
        <v>0.01</v>
      </c>
      <c r="AJ34" s="100">
        <v>0.769384</v>
      </c>
      <c r="AK34" s="100" t="s">
        <v>553</v>
      </c>
      <c r="AL34" s="100">
        <v>0.812251</v>
      </c>
      <c r="AM34" s="100">
        <v>0.486715</v>
      </c>
      <c r="AN34" s="100">
        <v>0.591549</v>
      </c>
      <c r="AO34" s="98">
        <v>2342.5299323269132</v>
      </c>
      <c r="AP34" s="158">
        <v>1.267992706</v>
      </c>
      <c r="AQ34" s="100">
        <v>0.07777777777777778</v>
      </c>
      <c r="AR34" s="100">
        <v>0.4375</v>
      </c>
      <c r="AS34" s="98">
        <v>585.6324830817283</v>
      </c>
      <c r="AT34" s="98">
        <v>351.379489849037</v>
      </c>
      <c r="AU34" s="98">
        <v>91.09838625715773</v>
      </c>
      <c r="AV34" s="98">
        <v>377.4076002082249</v>
      </c>
      <c r="AW34" s="98">
        <v>780.8433107756376</v>
      </c>
      <c r="AX34" s="98">
        <v>611.6605934409162</v>
      </c>
      <c r="AY34" s="98">
        <v>1236.3352420614262</v>
      </c>
      <c r="AZ34" s="98">
        <v>507.5481520041645</v>
      </c>
      <c r="BA34" s="100" t="s">
        <v>553</v>
      </c>
      <c r="BB34" s="100" t="s">
        <v>553</v>
      </c>
      <c r="BC34" s="100" t="s">
        <v>553</v>
      </c>
      <c r="BD34" s="158">
        <v>1.089514999</v>
      </c>
      <c r="BE34" s="158">
        <v>1.467367859</v>
      </c>
      <c r="BF34" s="162">
        <v>1006</v>
      </c>
      <c r="BG34" s="162" t="s">
        <v>553</v>
      </c>
      <c r="BH34" s="162">
        <v>2008</v>
      </c>
      <c r="BI34" s="162">
        <v>828</v>
      </c>
      <c r="BJ34" s="162">
        <v>426</v>
      </c>
      <c r="BK34" s="97"/>
      <c r="BL34" s="97"/>
      <c r="BM34" s="97"/>
      <c r="BN34" s="97"/>
    </row>
    <row r="35" spans="1:66" ht="12.75">
      <c r="A35" s="79" t="s">
        <v>535</v>
      </c>
      <c r="B35" s="79" t="s">
        <v>310</v>
      </c>
      <c r="C35" s="79" t="s">
        <v>167</v>
      </c>
      <c r="D35" s="99">
        <v>6235</v>
      </c>
      <c r="E35" s="99">
        <v>868</v>
      </c>
      <c r="F35" s="99" t="s">
        <v>342</v>
      </c>
      <c r="G35" s="99">
        <v>13</v>
      </c>
      <c r="H35" s="99">
        <v>11</v>
      </c>
      <c r="I35" s="99">
        <v>79</v>
      </c>
      <c r="J35" s="99">
        <v>450</v>
      </c>
      <c r="K35" s="99">
        <v>19</v>
      </c>
      <c r="L35" s="99">
        <v>1153</v>
      </c>
      <c r="M35" s="99">
        <v>272</v>
      </c>
      <c r="N35" s="99">
        <v>172</v>
      </c>
      <c r="O35" s="99">
        <v>123</v>
      </c>
      <c r="P35" s="159">
        <v>123</v>
      </c>
      <c r="Q35" s="99">
        <v>10</v>
      </c>
      <c r="R35" s="99">
        <v>21</v>
      </c>
      <c r="S35" s="99">
        <v>32</v>
      </c>
      <c r="T35" s="99">
        <v>24</v>
      </c>
      <c r="U35" s="99">
        <v>8</v>
      </c>
      <c r="V35" s="99">
        <v>16</v>
      </c>
      <c r="W35" s="99">
        <v>39</v>
      </c>
      <c r="X35" s="99">
        <v>20</v>
      </c>
      <c r="Y35" s="99">
        <v>39</v>
      </c>
      <c r="Z35" s="99">
        <v>31</v>
      </c>
      <c r="AA35" s="99" t="s">
        <v>553</v>
      </c>
      <c r="AB35" s="99" t="s">
        <v>553</v>
      </c>
      <c r="AC35" s="99" t="s">
        <v>553</v>
      </c>
      <c r="AD35" s="98" t="s">
        <v>322</v>
      </c>
      <c r="AE35" s="100">
        <v>0.1392141138732959</v>
      </c>
      <c r="AF35" s="100">
        <v>0.19</v>
      </c>
      <c r="AG35" s="98">
        <v>208.50040096230956</v>
      </c>
      <c r="AH35" s="98">
        <v>176.4234161988773</v>
      </c>
      <c r="AI35" s="100">
        <v>0.013000000000000001</v>
      </c>
      <c r="AJ35" s="100">
        <v>0.639205</v>
      </c>
      <c r="AK35" s="100">
        <v>0.633333</v>
      </c>
      <c r="AL35" s="100">
        <v>0.766113</v>
      </c>
      <c r="AM35" s="100">
        <v>0.433812</v>
      </c>
      <c r="AN35" s="100">
        <v>0.519637</v>
      </c>
      <c r="AO35" s="98">
        <v>1972.7345629510826</v>
      </c>
      <c r="AP35" s="158">
        <v>1.170181274</v>
      </c>
      <c r="AQ35" s="100">
        <v>0.08130081300813008</v>
      </c>
      <c r="AR35" s="100">
        <v>0.47619047619047616</v>
      </c>
      <c r="AS35" s="98">
        <v>513.2317562149158</v>
      </c>
      <c r="AT35" s="98">
        <v>384.92381716118683</v>
      </c>
      <c r="AU35" s="98">
        <v>128.30793905372894</v>
      </c>
      <c r="AV35" s="98">
        <v>256.6158781074579</v>
      </c>
      <c r="AW35" s="98">
        <v>625.5012028869286</v>
      </c>
      <c r="AX35" s="98">
        <v>320.7698476343224</v>
      </c>
      <c r="AY35" s="98">
        <v>625.5012028869286</v>
      </c>
      <c r="AZ35" s="98">
        <v>497.1932638331997</v>
      </c>
      <c r="BA35" s="100" t="s">
        <v>553</v>
      </c>
      <c r="BB35" s="100" t="s">
        <v>553</v>
      </c>
      <c r="BC35" s="100" t="s">
        <v>553</v>
      </c>
      <c r="BD35" s="158">
        <v>0.9725350951999999</v>
      </c>
      <c r="BE35" s="158">
        <v>1.396192017</v>
      </c>
      <c r="BF35" s="162">
        <v>704</v>
      </c>
      <c r="BG35" s="162">
        <v>30</v>
      </c>
      <c r="BH35" s="162">
        <v>1505</v>
      </c>
      <c r="BI35" s="162">
        <v>627</v>
      </c>
      <c r="BJ35" s="162">
        <v>331</v>
      </c>
      <c r="BK35" s="97"/>
      <c r="BL35" s="97"/>
      <c r="BM35" s="97"/>
      <c r="BN35" s="97"/>
    </row>
    <row r="36" spans="1:66" ht="12.75">
      <c r="A36" s="79" t="s">
        <v>512</v>
      </c>
      <c r="B36" s="79" t="s">
        <v>287</v>
      </c>
      <c r="C36" s="79" t="s">
        <v>167</v>
      </c>
      <c r="D36" s="99">
        <v>9146</v>
      </c>
      <c r="E36" s="99">
        <v>1629</v>
      </c>
      <c r="F36" s="99" t="s">
        <v>342</v>
      </c>
      <c r="G36" s="99">
        <v>58</v>
      </c>
      <c r="H36" s="99">
        <v>26</v>
      </c>
      <c r="I36" s="99">
        <v>131</v>
      </c>
      <c r="J36" s="99">
        <v>852</v>
      </c>
      <c r="K36" s="99">
        <v>845</v>
      </c>
      <c r="L36" s="99">
        <v>1542</v>
      </c>
      <c r="M36" s="99">
        <v>484</v>
      </c>
      <c r="N36" s="99">
        <v>322</v>
      </c>
      <c r="O36" s="99">
        <v>242</v>
      </c>
      <c r="P36" s="159">
        <v>242</v>
      </c>
      <c r="Q36" s="99">
        <v>26</v>
      </c>
      <c r="R36" s="99">
        <v>51</v>
      </c>
      <c r="S36" s="99">
        <v>39</v>
      </c>
      <c r="T36" s="99">
        <v>30</v>
      </c>
      <c r="U36" s="99">
        <v>17</v>
      </c>
      <c r="V36" s="99">
        <v>29</v>
      </c>
      <c r="W36" s="99">
        <v>72</v>
      </c>
      <c r="X36" s="99">
        <v>51</v>
      </c>
      <c r="Y36" s="99">
        <v>121</v>
      </c>
      <c r="Z36" s="99">
        <v>59</v>
      </c>
      <c r="AA36" s="99" t="s">
        <v>553</v>
      </c>
      <c r="AB36" s="99" t="s">
        <v>553</v>
      </c>
      <c r="AC36" s="99" t="s">
        <v>553</v>
      </c>
      <c r="AD36" s="98" t="s">
        <v>322</v>
      </c>
      <c r="AE36" s="100">
        <v>0.17811064946424668</v>
      </c>
      <c r="AF36" s="100">
        <v>0.2</v>
      </c>
      <c r="AG36" s="98">
        <v>634.1570085283184</v>
      </c>
      <c r="AH36" s="98">
        <v>284.2772796851082</v>
      </c>
      <c r="AI36" s="100">
        <v>0.013999999999999999</v>
      </c>
      <c r="AJ36" s="100">
        <v>0.73385</v>
      </c>
      <c r="AK36" s="100">
        <v>0.756491</v>
      </c>
      <c r="AL36" s="100">
        <v>0.753298</v>
      </c>
      <c r="AM36" s="100">
        <v>0.467633</v>
      </c>
      <c r="AN36" s="100">
        <v>0.584392</v>
      </c>
      <c r="AO36" s="98">
        <v>2645.9654493767766</v>
      </c>
      <c r="AP36" s="158">
        <v>1.3870497130000001</v>
      </c>
      <c r="AQ36" s="100">
        <v>0.10743801652892562</v>
      </c>
      <c r="AR36" s="100">
        <v>0.5098039215686274</v>
      </c>
      <c r="AS36" s="98">
        <v>426.41591952766237</v>
      </c>
      <c r="AT36" s="98">
        <v>328.0122457905095</v>
      </c>
      <c r="AU36" s="98">
        <v>185.87360594795538</v>
      </c>
      <c r="AV36" s="98">
        <v>317.0785042641592</v>
      </c>
      <c r="AW36" s="98">
        <v>787.2293898972229</v>
      </c>
      <c r="AX36" s="98">
        <v>557.6208178438661</v>
      </c>
      <c r="AY36" s="98">
        <v>1322.9827246883883</v>
      </c>
      <c r="AZ36" s="98">
        <v>645.0907500546687</v>
      </c>
      <c r="BA36" s="100" t="s">
        <v>553</v>
      </c>
      <c r="BB36" s="100" t="s">
        <v>553</v>
      </c>
      <c r="BC36" s="100" t="s">
        <v>553</v>
      </c>
      <c r="BD36" s="158">
        <v>1.21778389</v>
      </c>
      <c r="BE36" s="158">
        <v>1.573262024</v>
      </c>
      <c r="BF36" s="162">
        <v>1161</v>
      </c>
      <c r="BG36" s="162">
        <v>1117</v>
      </c>
      <c r="BH36" s="162">
        <v>2047</v>
      </c>
      <c r="BI36" s="162">
        <v>1035</v>
      </c>
      <c r="BJ36" s="162">
        <v>551</v>
      </c>
      <c r="BK36" s="97"/>
      <c r="BL36" s="97"/>
      <c r="BM36" s="97"/>
      <c r="BN36" s="97"/>
    </row>
    <row r="37" spans="1:66" ht="12.75">
      <c r="A37" s="79" t="s">
        <v>519</v>
      </c>
      <c r="B37" s="79" t="s">
        <v>294</v>
      </c>
      <c r="C37" s="79" t="s">
        <v>167</v>
      </c>
      <c r="D37" s="99">
        <v>8328</v>
      </c>
      <c r="E37" s="99">
        <v>1471</v>
      </c>
      <c r="F37" s="99" t="s">
        <v>345</v>
      </c>
      <c r="G37" s="99">
        <v>45</v>
      </c>
      <c r="H37" s="99">
        <v>15</v>
      </c>
      <c r="I37" s="99">
        <v>147</v>
      </c>
      <c r="J37" s="99">
        <v>915</v>
      </c>
      <c r="K37" s="99">
        <v>299</v>
      </c>
      <c r="L37" s="99">
        <v>1604</v>
      </c>
      <c r="M37" s="99">
        <v>518</v>
      </c>
      <c r="N37" s="99">
        <v>325</v>
      </c>
      <c r="O37" s="99">
        <v>254</v>
      </c>
      <c r="P37" s="159">
        <v>254</v>
      </c>
      <c r="Q37" s="99">
        <v>20</v>
      </c>
      <c r="R37" s="99">
        <v>51</v>
      </c>
      <c r="S37" s="99">
        <v>67</v>
      </c>
      <c r="T37" s="99">
        <v>75</v>
      </c>
      <c r="U37" s="99">
        <v>15</v>
      </c>
      <c r="V37" s="99">
        <v>26</v>
      </c>
      <c r="W37" s="99">
        <v>97</v>
      </c>
      <c r="X37" s="99">
        <v>53</v>
      </c>
      <c r="Y37" s="99">
        <v>91</v>
      </c>
      <c r="Z37" s="99">
        <v>61</v>
      </c>
      <c r="AA37" s="99" t="s">
        <v>553</v>
      </c>
      <c r="AB37" s="99" t="s">
        <v>553</v>
      </c>
      <c r="AC37" s="99" t="s">
        <v>553</v>
      </c>
      <c r="AD37" s="98" t="s">
        <v>322</v>
      </c>
      <c r="AE37" s="100">
        <v>0.1766330451488953</v>
      </c>
      <c r="AF37" s="100">
        <v>0.15</v>
      </c>
      <c r="AG37" s="98">
        <v>540.3458213256484</v>
      </c>
      <c r="AH37" s="98">
        <v>180.11527377521614</v>
      </c>
      <c r="AI37" s="100">
        <v>0.018000000000000002</v>
      </c>
      <c r="AJ37" s="100">
        <v>0.773457</v>
      </c>
      <c r="AK37" s="100">
        <v>0.770619</v>
      </c>
      <c r="AL37" s="100">
        <v>0.79249</v>
      </c>
      <c r="AM37" s="100">
        <v>0.487759</v>
      </c>
      <c r="AN37" s="100">
        <v>0.562284</v>
      </c>
      <c r="AO37" s="98">
        <v>3049.9519692603267</v>
      </c>
      <c r="AP37" s="158">
        <v>1.552180634</v>
      </c>
      <c r="AQ37" s="100">
        <v>0.07874015748031496</v>
      </c>
      <c r="AR37" s="100">
        <v>0.39215686274509803</v>
      </c>
      <c r="AS37" s="98">
        <v>804.5148895292988</v>
      </c>
      <c r="AT37" s="98">
        <v>900.5763688760807</v>
      </c>
      <c r="AU37" s="98">
        <v>180.11527377521614</v>
      </c>
      <c r="AV37" s="98">
        <v>312.1998078770413</v>
      </c>
      <c r="AW37" s="98">
        <v>1164.7454370797311</v>
      </c>
      <c r="AX37" s="98">
        <v>636.4073006724303</v>
      </c>
      <c r="AY37" s="98">
        <v>1092.6993275696445</v>
      </c>
      <c r="AZ37" s="98">
        <v>732.4687800192123</v>
      </c>
      <c r="BA37" s="100" t="s">
        <v>553</v>
      </c>
      <c r="BB37" s="100" t="s">
        <v>553</v>
      </c>
      <c r="BC37" s="100" t="s">
        <v>553</v>
      </c>
      <c r="BD37" s="158">
        <v>1.367147217</v>
      </c>
      <c r="BE37" s="158">
        <v>1.7552734380000001</v>
      </c>
      <c r="BF37" s="162">
        <v>1183</v>
      </c>
      <c r="BG37" s="162">
        <v>388</v>
      </c>
      <c r="BH37" s="162">
        <v>2024</v>
      </c>
      <c r="BI37" s="162">
        <v>1062</v>
      </c>
      <c r="BJ37" s="162">
        <v>578</v>
      </c>
      <c r="BK37" s="97"/>
      <c r="BL37" s="97"/>
      <c r="BM37" s="97"/>
      <c r="BN37" s="97"/>
    </row>
    <row r="38" spans="1:66" ht="12.75">
      <c r="A38" s="79" t="s">
        <v>529</v>
      </c>
      <c r="B38" s="79" t="s">
        <v>304</v>
      </c>
      <c r="C38" s="79" t="s">
        <v>167</v>
      </c>
      <c r="D38" s="99">
        <v>14699</v>
      </c>
      <c r="E38" s="99">
        <v>2578</v>
      </c>
      <c r="F38" s="99" t="s">
        <v>342</v>
      </c>
      <c r="G38" s="99">
        <v>91</v>
      </c>
      <c r="H38" s="99">
        <v>54</v>
      </c>
      <c r="I38" s="99">
        <v>226</v>
      </c>
      <c r="J38" s="99">
        <v>1344</v>
      </c>
      <c r="K38" s="99">
        <v>1310</v>
      </c>
      <c r="L38" s="99">
        <v>2703</v>
      </c>
      <c r="M38" s="99">
        <v>727</v>
      </c>
      <c r="N38" s="99">
        <v>450</v>
      </c>
      <c r="O38" s="99">
        <v>361</v>
      </c>
      <c r="P38" s="159">
        <v>361</v>
      </c>
      <c r="Q38" s="99">
        <v>48</v>
      </c>
      <c r="R38" s="99">
        <v>105</v>
      </c>
      <c r="S38" s="99">
        <v>99</v>
      </c>
      <c r="T38" s="99">
        <v>61</v>
      </c>
      <c r="U38" s="99">
        <v>31</v>
      </c>
      <c r="V38" s="99">
        <v>53</v>
      </c>
      <c r="W38" s="99">
        <v>97</v>
      </c>
      <c r="X38" s="99">
        <v>77</v>
      </c>
      <c r="Y38" s="99">
        <v>109</v>
      </c>
      <c r="Z38" s="99">
        <v>146</v>
      </c>
      <c r="AA38" s="99" t="s">
        <v>553</v>
      </c>
      <c r="AB38" s="99" t="s">
        <v>553</v>
      </c>
      <c r="AC38" s="99" t="s">
        <v>553</v>
      </c>
      <c r="AD38" s="98" t="s">
        <v>322</v>
      </c>
      <c r="AE38" s="100">
        <v>0.17538608068576095</v>
      </c>
      <c r="AF38" s="100">
        <v>0.21</v>
      </c>
      <c r="AG38" s="98">
        <v>619.0897339955098</v>
      </c>
      <c r="AH38" s="98">
        <v>367.3719300632696</v>
      </c>
      <c r="AI38" s="100">
        <v>0.015</v>
      </c>
      <c r="AJ38" s="100">
        <v>0.726094</v>
      </c>
      <c r="AK38" s="100">
        <v>0.736369</v>
      </c>
      <c r="AL38" s="100">
        <v>0.796171</v>
      </c>
      <c r="AM38" s="100">
        <v>0.416142</v>
      </c>
      <c r="AN38" s="100">
        <v>0.486486</v>
      </c>
      <c r="AO38" s="98">
        <v>2455.949384311858</v>
      </c>
      <c r="AP38" s="158">
        <v>1.28620285</v>
      </c>
      <c r="AQ38" s="100">
        <v>0.1329639889196676</v>
      </c>
      <c r="AR38" s="100">
        <v>0.45714285714285713</v>
      </c>
      <c r="AS38" s="98">
        <v>673.5152051159943</v>
      </c>
      <c r="AT38" s="98">
        <v>414.99421729369345</v>
      </c>
      <c r="AU38" s="98">
        <v>210.898700591877</v>
      </c>
      <c r="AV38" s="98">
        <v>360.56874617320904</v>
      </c>
      <c r="AW38" s="98">
        <v>659.9088373358732</v>
      </c>
      <c r="AX38" s="98">
        <v>523.8451595346622</v>
      </c>
      <c r="AY38" s="98">
        <v>741.5470440165998</v>
      </c>
      <c r="AZ38" s="98">
        <v>993.26484794884</v>
      </c>
      <c r="BA38" s="100" t="s">
        <v>553</v>
      </c>
      <c r="BB38" s="100" t="s">
        <v>553</v>
      </c>
      <c r="BC38" s="100" t="s">
        <v>553</v>
      </c>
      <c r="BD38" s="158">
        <v>1.156929474</v>
      </c>
      <c r="BE38" s="158">
        <v>1.4259706120000002</v>
      </c>
      <c r="BF38" s="162">
        <v>1851</v>
      </c>
      <c r="BG38" s="162">
        <v>1779</v>
      </c>
      <c r="BH38" s="162">
        <v>3395</v>
      </c>
      <c r="BI38" s="162">
        <v>1747</v>
      </c>
      <c r="BJ38" s="162">
        <v>925</v>
      </c>
      <c r="BK38" s="97"/>
      <c r="BL38" s="97"/>
      <c r="BM38" s="97"/>
      <c r="BN38" s="97"/>
    </row>
    <row r="39" spans="1:66" ht="12.75">
      <c r="A39" s="79" t="s">
        <v>541</v>
      </c>
      <c r="B39" s="79" t="s">
        <v>316</v>
      </c>
      <c r="C39" s="79" t="s">
        <v>167</v>
      </c>
      <c r="D39" s="99">
        <v>5045</v>
      </c>
      <c r="E39" s="99">
        <v>498</v>
      </c>
      <c r="F39" s="99" t="s">
        <v>343</v>
      </c>
      <c r="G39" s="99">
        <v>25</v>
      </c>
      <c r="H39" s="99">
        <v>12</v>
      </c>
      <c r="I39" s="99">
        <v>49</v>
      </c>
      <c r="J39" s="99">
        <v>300</v>
      </c>
      <c r="K39" s="99" t="s">
        <v>553</v>
      </c>
      <c r="L39" s="99">
        <v>844</v>
      </c>
      <c r="M39" s="99">
        <v>126</v>
      </c>
      <c r="N39" s="99">
        <v>83</v>
      </c>
      <c r="O39" s="99">
        <v>102</v>
      </c>
      <c r="P39" s="159">
        <v>102</v>
      </c>
      <c r="Q39" s="99">
        <v>11</v>
      </c>
      <c r="R39" s="99">
        <v>21</v>
      </c>
      <c r="S39" s="99">
        <v>28</v>
      </c>
      <c r="T39" s="99">
        <v>12</v>
      </c>
      <c r="U39" s="99" t="s">
        <v>553</v>
      </c>
      <c r="V39" s="99">
        <v>6</v>
      </c>
      <c r="W39" s="99">
        <v>20</v>
      </c>
      <c r="X39" s="99">
        <v>14</v>
      </c>
      <c r="Y39" s="99">
        <v>63</v>
      </c>
      <c r="Z39" s="99">
        <v>23</v>
      </c>
      <c r="AA39" s="99" t="s">
        <v>553</v>
      </c>
      <c r="AB39" s="99" t="s">
        <v>553</v>
      </c>
      <c r="AC39" s="99" t="s">
        <v>553</v>
      </c>
      <c r="AD39" s="98" t="s">
        <v>322</v>
      </c>
      <c r="AE39" s="100">
        <v>0.09871159563924678</v>
      </c>
      <c r="AF39" s="100">
        <v>0.28</v>
      </c>
      <c r="AG39" s="98">
        <v>495.5401387512388</v>
      </c>
      <c r="AH39" s="98">
        <v>237.85926660059465</v>
      </c>
      <c r="AI39" s="100">
        <v>0.01</v>
      </c>
      <c r="AJ39" s="100">
        <v>0.581395</v>
      </c>
      <c r="AK39" s="100" t="s">
        <v>553</v>
      </c>
      <c r="AL39" s="100">
        <v>0.708648</v>
      </c>
      <c r="AM39" s="100">
        <v>0.289655</v>
      </c>
      <c r="AN39" s="100">
        <v>0.344398</v>
      </c>
      <c r="AO39" s="98">
        <v>2021.8037661050546</v>
      </c>
      <c r="AP39" s="158">
        <v>1.3372506709999998</v>
      </c>
      <c r="AQ39" s="100">
        <v>0.10784313725490197</v>
      </c>
      <c r="AR39" s="100">
        <v>0.5238095238095238</v>
      </c>
      <c r="AS39" s="98">
        <v>555.0049554013875</v>
      </c>
      <c r="AT39" s="98">
        <v>237.85926660059465</v>
      </c>
      <c r="AU39" s="98" t="s">
        <v>553</v>
      </c>
      <c r="AV39" s="98">
        <v>118.92963330029733</v>
      </c>
      <c r="AW39" s="98">
        <v>396.4321110009911</v>
      </c>
      <c r="AX39" s="98">
        <v>277.50247770069376</v>
      </c>
      <c r="AY39" s="98">
        <v>1248.761149653122</v>
      </c>
      <c r="AZ39" s="98">
        <v>455.8969276511397</v>
      </c>
      <c r="BA39" s="100" t="s">
        <v>553</v>
      </c>
      <c r="BB39" s="100" t="s">
        <v>553</v>
      </c>
      <c r="BC39" s="100" t="s">
        <v>553</v>
      </c>
      <c r="BD39" s="158">
        <v>1.090368195</v>
      </c>
      <c r="BE39" s="158">
        <v>1.623331146</v>
      </c>
      <c r="BF39" s="162">
        <v>516</v>
      </c>
      <c r="BG39" s="162" t="s">
        <v>553</v>
      </c>
      <c r="BH39" s="162">
        <v>1191</v>
      </c>
      <c r="BI39" s="162">
        <v>435</v>
      </c>
      <c r="BJ39" s="162">
        <v>241</v>
      </c>
      <c r="BK39" s="97"/>
      <c r="BL39" s="97"/>
      <c r="BM39" s="97"/>
      <c r="BN39" s="97"/>
    </row>
    <row r="40" spans="1:66" ht="12.75">
      <c r="A40" s="79" t="s">
        <v>510</v>
      </c>
      <c r="B40" s="79" t="s">
        <v>285</v>
      </c>
      <c r="C40" s="79" t="s">
        <v>167</v>
      </c>
      <c r="D40" s="99">
        <v>8621</v>
      </c>
      <c r="E40" s="99">
        <v>1279</v>
      </c>
      <c r="F40" s="99" t="s">
        <v>342</v>
      </c>
      <c r="G40" s="99">
        <v>38</v>
      </c>
      <c r="H40" s="99">
        <v>23</v>
      </c>
      <c r="I40" s="99">
        <v>104</v>
      </c>
      <c r="J40" s="99">
        <v>550</v>
      </c>
      <c r="K40" s="99">
        <v>97</v>
      </c>
      <c r="L40" s="99">
        <v>1376</v>
      </c>
      <c r="M40" s="99">
        <v>335</v>
      </c>
      <c r="N40" s="99">
        <v>208</v>
      </c>
      <c r="O40" s="99">
        <v>128</v>
      </c>
      <c r="P40" s="159">
        <v>128</v>
      </c>
      <c r="Q40" s="99">
        <v>11</v>
      </c>
      <c r="R40" s="99">
        <v>28</v>
      </c>
      <c r="S40" s="99">
        <v>22</v>
      </c>
      <c r="T40" s="99">
        <v>17</v>
      </c>
      <c r="U40" s="99">
        <v>8</v>
      </c>
      <c r="V40" s="99">
        <v>35</v>
      </c>
      <c r="W40" s="99">
        <v>37</v>
      </c>
      <c r="X40" s="99">
        <v>31</v>
      </c>
      <c r="Y40" s="99">
        <v>47</v>
      </c>
      <c r="Z40" s="99">
        <v>41</v>
      </c>
      <c r="AA40" s="99" t="s">
        <v>553</v>
      </c>
      <c r="AB40" s="99" t="s">
        <v>553</v>
      </c>
      <c r="AC40" s="99" t="s">
        <v>553</v>
      </c>
      <c r="AD40" s="98" t="s">
        <v>322</v>
      </c>
      <c r="AE40" s="100">
        <v>0.1483586590882728</v>
      </c>
      <c r="AF40" s="100">
        <v>0.21</v>
      </c>
      <c r="AG40" s="98">
        <v>440.7841317712562</v>
      </c>
      <c r="AH40" s="98">
        <v>266.79039554576036</v>
      </c>
      <c r="AI40" s="100">
        <v>0.012</v>
      </c>
      <c r="AJ40" s="100">
        <v>0.630011</v>
      </c>
      <c r="AK40" s="100">
        <v>0.788618</v>
      </c>
      <c r="AL40" s="100">
        <v>0.678836</v>
      </c>
      <c r="AM40" s="100">
        <v>0.411548</v>
      </c>
      <c r="AN40" s="100">
        <v>0.473804</v>
      </c>
      <c r="AO40" s="98">
        <v>1484.7465491242315</v>
      </c>
      <c r="AP40" s="158">
        <v>0.8681270598999999</v>
      </c>
      <c r="AQ40" s="100">
        <v>0.0859375</v>
      </c>
      <c r="AR40" s="100">
        <v>0.39285714285714285</v>
      </c>
      <c r="AS40" s="98">
        <v>255.1908131307273</v>
      </c>
      <c r="AT40" s="98">
        <v>197.192901055562</v>
      </c>
      <c r="AU40" s="98">
        <v>92.79665932026447</v>
      </c>
      <c r="AV40" s="98">
        <v>405.9853845261571</v>
      </c>
      <c r="AW40" s="98">
        <v>429.18454935622316</v>
      </c>
      <c r="AX40" s="98">
        <v>359.5870548660248</v>
      </c>
      <c r="AY40" s="98">
        <v>545.1803735065538</v>
      </c>
      <c r="AZ40" s="98">
        <v>475.58287901635543</v>
      </c>
      <c r="BA40" s="100" t="s">
        <v>553</v>
      </c>
      <c r="BB40" s="100" t="s">
        <v>553</v>
      </c>
      <c r="BC40" s="100" t="s">
        <v>553</v>
      </c>
      <c r="BD40" s="158">
        <v>0.7242576599</v>
      </c>
      <c r="BE40" s="158">
        <v>1.032205963</v>
      </c>
      <c r="BF40" s="162">
        <v>873</v>
      </c>
      <c r="BG40" s="162">
        <v>123</v>
      </c>
      <c r="BH40" s="162">
        <v>2027</v>
      </c>
      <c r="BI40" s="162">
        <v>814</v>
      </c>
      <c r="BJ40" s="162">
        <v>439</v>
      </c>
      <c r="BK40" s="97"/>
      <c r="BL40" s="97"/>
      <c r="BM40" s="97"/>
      <c r="BN40" s="97"/>
    </row>
    <row r="41" spans="1:66" ht="12.75">
      <c r="A41" s="79" t="s">
        <v>528</v>
      </c>
      <c r="B41" s="79" t="s">
        <v>303</v>
      </c>
      <c r="C41" s="79" t="s">
        <v>167</v>
      </c>
      <c r="D41" s="99">
        <v>5539</v>
      </c>
      <c r="E41" s="99">
        <v>997</v>
      </c>
      <c r="F41" s="99" t="s">
        <v>342</v>
      </c>
      <c r="G41" s="99">
        <v>38</v>
      </c>
      <c r="H41" s="99">
        <v>22</v>
      </c>
      <c r="I41" s="99">
        <v>111</v>
      </c>
      <c r="J41" s="99">
        <v>478</v>
      </c>
      <c r="K41" s="99" t="s">
        <v>553</v>
      </c>
      <c r="L41" s="99">
        <v>957</v>
      </c>
      <c r="M41" s="99">
        <v>252</v>
      </c>
      <c r="N41" s="99">
        <v>161</v>
      </c>
      <c r="O41" s="99">
        <v>100</v>
      </c>
      <c r="P41" s="159">
        <v>100</v>
      </c>
      <c r="Q41" s="99">
        <v>10</v>
      </c>
      <c r="R41" s="99">
        <v>19</v>
      </c>
      <c r="S41" s="99">
        <v>15</v>
      </c>
      <c r="T41" s="99">
        <v>19</v>
      </c>
      <c r="U41" s="99">
        <v>6</v>
      </c>
      <c r="V41" s="99">
        <v>10</v>
      </c>
      <c r="W41" s="99">
        <v>50</v>
      </c>
      <c r="X41" s="99">
        <v>31</v>
      </c>
      <c r="Y41" s="99">
        <v>58</v>
      </c>
      <c r="Z41" s="99">
        <v>50</v>
      </c>
      <c r="AA41" s="99" t="s">
        <v>553</v>
      </c>
      <c r="AB41" s="99" t="s">
        <v>553</v>
      </c>
      <c r="AC41" s="99" t="s">
        <v>553</v>
      </c>
      <c r="AD41" s="98" t="s">
        <v>322</v>
      </c>
      <c r="AE41" s="100">
        <v>0.179996389239935</v>
      </c>
      <c r="AF41" s="100">
        <v>0.18</v>
      </c>
      <c r="AG41" s="98">
        <v>686.0444123487994</v>
      </c>
      <c r="AH41" s="98">
        <v>397.1836071493049</v>
      </c>
      <c r="AI41" s="100">
        <v>0.02</v>
      </c>
      <c r="AJ41" s="100">
        <v>0.702941</v>
      </c>
      <c r="AK41" s="100" t="s">
        <v>553</v>
      </c>
      <c r="AL41" s="100">
        <v>0.741286</v>
      </c>
      <c r="AM41" s="100">
        <v>0.376119</v>
      </c>
      <c r="AN41" s="100">
        <v>0.457386</v>
      </c>
      <c r="AO41" s="98">
        <v>1805.3800324968406</v>
      </c>
      <c r="AP41" s="158">
        <v>0.9312438965</v>
      </c>
      <c r="AQ41" s="100">
        <v>0.1</v>
      </c>
      <c r="AR41" s="100">
        <v>0.5263157894736842</v>
      </c>
      <c r="AS41" s="98">
        <v>270.8070048745261</v>
      </c>
      <c r="AT41" s="98">
        <v>343.0222061743997</v>
      </c>
      <c r="AU41" s="98">
        <v>108.32280194981044</v>
      </c>
      <c r="AV41" s="98">
        <v>180.53800324968407</v>
      </c>
      <c r="AW41" s="98">
        <v>902.6900162484203</v>
      </c>
      <c r="AX41" s="98">
        <v>559.6678100740206</v>
      </c>
      <c r="AY41" s="98">
        <v>1047.1204188481674</v>
      </c>
      <c r="AZ41" s="98">
        <v>902.6900162484203</v>
      </c>
      <c r="BA41" s="100" t="s">
        <v>553</v>
      </c>
      <c r="BB41" s="100" t="s">
        <v>553</v>
      </c>
      <c r="BC41" s="100" t="s">
        <v>553</v>
      </c>
      <c r="BD41" s="158">
        <v>0.7576972198</v>
      </c>
      <c r="BE41" s="158">
        <v>1.132642136</v>
      </c>
      <c r="BF41" s="162">
        <v>680</v>
      </c>
      <c r="BG41" s="162" t="s">
        <v>553</v>
      </c>
      <c r="BH41" s="162">
        <v>1291</v>
      </c>
      <c r="BI41" s="162">
        <v>670</v>
      </c>
      <c r="BJ41" s="162">
        <v>352</v>
      </c>
      <c r="BK41" s="97"/>
      <c r="BL41" s="97"/>
      <c r="BM41" s="97"/>
      <c r="BN41" s="97"/>
    </row>
    <row r="42" spans="1:66" ht="12.75">
      <c r="A42" s="79" t="s">
        <v>520</v>
      </c>
      <c r="B42" s="79" t="s">
        <v>295</v>
      </c>
      <c r="C42" s="79" t="s">
        <v>167</v>
      </c>
      <c r="D42" s="99">
        <v>20814</v>
      </c>
      <c r="E42" s="99">
        <v>2963</v>
      </c>
      <c r="F42" s="99" t="s">
        <v>342</v>
      </c>
      <c r="G42" s="99">
        <v>61</v>
      </c>
      <c r="H42" s="99">
        <v>39</v>
      </c>
      <c r="I42" s="99">
        <v>403</v>
      </c>
      <c r="J42" s="99">
        <v>1740</v>
      </c>
      <c r="K42" s="99">
        <v>1704</v>
      </c>
      <c r="L42" s="99">
        <v>4010</v>
      </c>
      <c r="M42" s="99">
        <v>894</v>
      </c>
      <c r="N42" s="99">
        <v>583</v>
      </c>
      <c r="O42" s="99">
        <v>115</v>
      </c>
      <c r="P42" s="159">
        <v>115</v>
      </c>
      <c r="Q42" s="99">
        <v>21</v>
      </c>
      <c r="R42" s="99">
        <v>65</v>
      </c>
      <c r="S42" s="99">
        <v>47</v>
      </c>
      <c r="T42" s="99">
        <v>20</v>
      </c>
      <c r="U42" s="99">
        <v>9</v>
      </c>
      <c r="V42" s="99">
        <v>8</v>
      </c>
      <c r="W42" s="99">
        <v>48</v>
      </c>
      <c r="X42" s="99">
        <v>31</v>
      </c>
      <c r="Y42" s="99">
        <v>87</v>
      </c>
      <c r="Z42" s="99">
        <v>86</v>
      </c>
      <c r="AA42" s="99" t="s">
        <v>553</v>
      </c>
      <c r="AB42" s="99" t="s">
        <v>553</v>
      </c>
      <c r="AC42" s="99" t="s">
        <v>553</v>
      </c>
      <c r="AD42" s="98" t="s">
        <v>322</v>
      </c>
      <c r="AE42" s="100">
        <v>0.1423561064668012</v>
      </c>
      <c r="AF42" s="100">
        <v>0.18</v>
      </c>
      <c r="AG42" s="98">
        <v>293.0719707888921</v>
      </c>
      <c r="AH42" s="98">
        <v>187.37388296339003</v>
      </c>
      <c r="AI42" s="100">
        <v>0.019</v>
      </c>
      <c r="AJ42" s="100">
        <v>0.717822</v>
      </c>
      <c r="AK42" s="100">
        <v>0.726962</v>
      </c>
      <c r="AL42" s="100">
        <v>0.769674</v>
      </c>
      <c r="AM42" s="100">
        <v>0.439961</v>
      </c>
      <c r="AN42" s="100">
        <v>0.531934</v>
      </c>
      <c r="AO42" s="98">
        <v>552.5127318151244</v>
      </c>
      <c r="AP42" s="158">
        <v>0.31885349269999996</v>
      </c>
      <c r="AQ42" s="100">
        <v>0.1826086956521739</v>
      </c>
      <c r="AR42" s="100">
        <v>0.3230769230769231</v>
      </c>
      <c r="AS42" s="98">
        <v>225.8095512635726</v>
      </c>
      <c r="AT42" s="98">
        <v>96.08917075045642</v>
      </c>
      <c r="AU42" s="98">
        <v>43.24012683770539</v>
      </c>
      <c r="AV42" s="98">
        <v>38.43566830018257</v>
      </c>
      <c r="AW42" s="98">
        <v>230.61400980109542</v>
      </c>
      <c r="AX42" s="98">
        <v>148.93821466320745</v>
      </c>
      <c r="AY42" s="98">
        <v>417.9878927644854</v>
      </c>
      <c r="AZ42" s="98">
        <v>413.1834342269626</v>
      </c>
      <c r="BA42" s="100" t="s">
        <v>553</v>
      </c>
      <c r="BB42" s="100" t="s">
        <v>553</v>
      </c>
      <c r="BC42" s="100" t="s">
        <v>553</v>
      </c>
      <c r="BD42" s="158">
        <v>0.2632462692</v>
      </c>
      <c r="BE42" s="158">
        <v>0.3827353287</v>
      </c>
      <c r="BF42" s="162">
        <v>2424</v>
      </c>
      <c r="BG42" s="162">
        <v>2344</v>
      </c>
      <c r="BH42" s="162">
        <v>5210</v>
      </c>
      <c r="BI42" s="162">
        <v>2032</v>
      </c>
      <c r="BJ42" s="162">
        <v>1096</v>
      </c>
      <c r="BK42" s="97"/>
      <c r="BL42" s="97"/>
      <c r="BM42" s="97"/>
      <c r="BN42" s="97"/>
    </row>
    <row r="43" spans="1:66" ht="12.75">
      <c r="A43" s="79" t="s">
        <v>168</v>
      </c>
      <c r="B43" s="94" t="s">
        <v>167</v>
      </c>
      <c r="C43" s="94" t="s">
        <v>7</v>
      </c>
      <c r="D43" s="99">
        <v>350958</v>
      </c>
      <c r="E43" s="99">
        <v>57265</v>
      </c>
      <c r="F43" s="99">
        <v>54867.11999999998</v>
      </c>
      <c r="G43" s="99">
        <v>1794</v>
      </c>
      <c r="H43" s="99">
        <v>971</v>
      </c>
      <c r="I43" s="99">
        <v>5491</v>
      </c>
      <c r="J43" s="99">
        <v>32013</v>
      </c>
      <c r="K43" s="99">
        <v>16400</v>
      </c>
      <c r="L43" s="99">
        <v>66310</v>
      </c>
      <c r="M43" s="99">
        <v>18301</v>
      </c>
      <c r="N43" s="99">
        <v>11773</v>
      </c>
      <c r="O43" s="99">
        <v>7810</v>
      </c>
      <c r="P43" s="99">
        <v>7810</v>
      </c>
      <c r="Q43" s="99">
        <v>799</v>
      </c>
      <c r="R43" s="99">
        <v>1746</v>
      </c>
      <c r="S43" s="99">
        <v>1660</v>
      </c>
      <c r="T43" s="99">
        <v>1307</v>
      </c>
      <c r="U43" s="99">
        <v>396</v>
      </c>
      <c r="V43" s="99">
        <v>1170</v>
      </c>
      <c r="W43" s="99">
        <v>2349</v>
      </c>
      <c r="X43" s="99">
        <v>1613</v>
      </c>
      <c r="Y43" s="99">
        <v>3355</v>
      </c>
      <c r="Z43" s="99">
        <v>2429</v>
      </c>
      <c r="AA43" s="99">
        <v>0</v>
      </c>
      <c r="AB43" s="99">
        <v>0</v>
      </c>
      <c r="AC43" s="99">
        <v>0</v>
      </c>
      <c r="AD43" s="98">
        <v>0</v>
      </c>
      <c r="AE43" s="101">
        <v>0.1631676724850267</v>
      </c>
      <c r="AF43" s="101">
        <v>0.15633528798317742</v>
      </c>
      <c r="AG43" s="98">
        <v>511.1722770246012</v>
      </c>
      <c r="AH43" s="98">
        <v>276.67128260361636</v>
      </c>
      <c r="AI43" s="101">
        <v>0.015645746784515527</v>
      </c>
      <c r="AJ43" s="101">
        <v>0.731057319022608</v>
      </c>
      <c r="AK43" s="101">
        <v>0.7593998888683089</v>
      </c>
      <c r="AL43" s="101">
        <v>0.7685264597482673</v>
      </c>
      <c r="AM43" s="101">
        <v>0.4576050808891556</v>
      </c>
      <c r="AN43" s="101">
        <v>0.5515060664261957</v>
      </c>
      <c r="AO43" s="98">
        <v>2225.337504772651</v>
      </c>
      <c r="AP43" s="98">
        <v>0</v>
      </c>
      <c r="AQ43" s="101">
        <v>0.10230473751600512</v>
      </c>
      <c r="AR43" s="101">
        <v>0.45761741122565863</v>
      </c>
      <c r="AS43" s="98">
        <v>472.99107015654295</v>
      </c>
      <c r="AT43" s="98">
        <v>372.4092341533745</v>
      </c>
      <c r="AU43" s="98">
        <v>112.83401432650061</v>
      </c>
      <c r="AV43" s="98">
        <v>333.37322414647906</v>
      </c>
      <c r="AW43" s="98">
        <v>669.3108577094695</v>
      </c>
      <c r="AX43" s="98">
        <v>459.59915431476134</v>
      </c>
      <c r="AY43" s="98">
        <v>955.954843599519</v>
      </c>
      <c r="AZ43" s="98">
        <v>692.1056080784596</v>
      </c>
      <c r="BA43" s="101">
        <v>0</v>
      </c>
      <c r="BB43" s="101">
        <v>0</v>
      </c>
      <c r="BC43" s="101">
        <v>0</v>
      </c>
      <c r="BD43" s="98">
        <v>0</v>
      </c>
      <c r="BE43" s="98">
        <v>0</v>
      </c>
      <c r="BF43" s="99">
        <v>43790</v>
      </c>
      <c r="BG43" s="99">
        <v>21596</v>
      </c>
      <c r="BH43" s="99">
        <v>86282</v>
      </c>
      <c r="BI43" s="99">
        <v>39993</v>
      </c>
      <c r="BJ43" s="99">
        <v>21347</v>
      </c>
      <c r="BK43" s="97"/>
      <c r="BL43" s="97"/>
      <c r="BM43" s="97"/>
      <c r="BN43" s="97"/>
    </row>
    <row r="44" spans="1:66" ht="12.75">
      <c r="A44" s="79" t="s">
        <v>24</v>
      </c>
      <c r="B44" s="94" t="s">
        <v>7</v>
      </c>
      <c r="C44" s="94" t="s">
        <v>7</v>
      </c>
      <c r="D44" s="99">
        <v>54615830</v>
      </c>
      <c r="E44" s="99">
        <v>8737890</v>
      </c>
      <c r="F44" s="99">
        <v>8198344.169999988</v>
      </c>
      <c r="G44" s="99">
        <v>243379</v>
      </c>
      <c r="H44" s="99">
        <v>127868</v>
      </c>
      <c r="I44" s="99">
        <v>870616</v>
      </c>
      <c r="J44" s="99">
        <v>4592627</v>
      </c>
      <c r="K44" s="99">
        <v>1679592</v>
      </c>
      <c r="L44" s="99">
        <v>10150944</v>
      </c>
      <c r="M44" s="99">
        <v>2959539</v>
      </c>
      <c r="N44" s="99">
        <v>1629320</v>
      </c>
      <c r="O44" s="99">
        <v>989730</v>
      </c>
      <c r="P44" s="99">
        <v>989730</v>
      </c>
      <c r="Q44" s="99">
        <v>108072</v>
      </c>
      <c r="R44" s="99">
        <v>238330</v>
      </c>
      <c r="S44" s="99">
        <v>206300</v>
      </c>
      <c r="T44" s="99">
        <v>154264</v>
      </c>
      <c r="U44" s="99">
        <v>38486</v>
      </c>
      <c r="V44" s="99">
        <v>176535</v>
      </c>
      <c r="W44" s="99">
        <v>307276</v>
      </c>
      <c r="X44" s="99">
        <v>221506</v>
      </c>
      <c r="Y44" s="99">
        <v>578574</v>
      </c>
      <c r="Z44" s="99">
        <v>318377</v>
      </c>
      <c r="AA44" s="99">
        <v>0</v>
      </c>
      <c r="AB44" s="99">
        <v>0</v>
      </c>
      <c r="AC44" s="99">
        <v>0</v>
      </c>
      <c r="AD44" s="98">
        <v>0</v>
      </c>
      <c r="AE44" s="101">
        <v>0.1599882305185145</v>
      </c>
      <c r="AF44" s="101">
        <v>0.15010930292554353</v>
      </c>
      <c r="AG44" s="98">
        <v>445.6198871279627</v>
      </c>
      <c r="AH44" s="98">
        <v>234.12259778895606</v>
      </c>
      <c r="AI44" s="101">
        <v>0.015940726342527432</v>
      </c>
      <c r="AJ44" s="101">
        <v>0.7248631360507991</v>
      </c>
      <c r="AK44" s="101">
        <v>0.7467412166569077</v>
      </c>
      <c r="AL44" s="101">
        <v>0.7559681673907895</v>
      </c>
      <c r="AM44" s="101">
        <v>0.5147293797466616</v>
      </c>
      <c r="AN44" s="101">
        <v>0.5752927626212945</v>
      </c>
      <c r="AO44" s="98">
        <v>1812.1669120472948</v>
      </c>
      <c r="AP44" s="98">
        <v>1</v>
      </c>
      <c r="AQ44" s="101">
        <v>0.10919341638628717</v>
      </c>
      <c r="AR44" s="101">
        <v>0.4534552930810221</v>
      </c>
      <c r="AS44" s="98">
        <v>377.7293140102421</v>
      </c>
      <c r="AT44" s="98">
        <v>282.45290788403287</v>
      </c>
      <c r="AU44" s="98">
        <v>70.46674929228394</v>
      </c>
      <c r="AV44" s="98">
        <v>323.23046266988894</v>
      </c>
      <c r="AW44" s="98">
        <v>562.6134400960308</v>
      </c>
      <c r="AX44" s="98">
        <v>405.57105879375996</v>
      </c>
      <c r="AY44" s="98">
        <v>1059.3522061277838</v>
      </c>
      <c r="AZ44" s="98">
        <v>582.9390489900089</v>
      </c>
      <c r="BA44" s="101">
        <v>0</v>
      </c>
      <c r="BB44" s="101">
        <v>0</v>
      </c>
      <c r="BC44" s="101">
        <v>0</v>
      </c>
      <c r="BD44" s="98">
        <v>0</v>
      </c>
      <c r="BE44" s="98">
        <v>0</v>
      </c>
      <c r="BF44" s="99">
        <v>6335854</v>
      </c>
      <c r="BG44" s="99">
        <v>2249229</v>
      </c>
      <c r="BH44" s="99">
        <v>13427740</v>
      </c>
      <c r="BI44" s="99">
        <v>5749699</v>
      </c>
      <c r="BJ44" s="99">
        <v>2832158</v>
      </c>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2"/>
      <c r="BB70" s="302"/>
      <c r="BC70" s="302"/>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298"/>
      <c r="C75" s="298"/>
      <c r="D75" s="299"/>
      <c r="E75" s="299"/>
      <c r="F75" s="299"/>
      <c r="G75" s="299"/>
      <c r="H75" s="299"/>
      <c r="I75" s="299"/>
      <c r="J75" s="299"/>
      <c r="K75" s="299"/>
      <c r="L75" s="299"/>
      <c r="M75" s="299"/>
      <c r="N75" s="299"/>
      <c r="O75" s="299"/>
      <c r="P75" s="299"/>
      <c r="Q75" s="299"/>
      <c r="R75" s="299"/>
      <c r="S75" s="299"/>
      <c r="T75" s="299"/>
      <c r="U75" s="299"/>
      <c r="V75" s="299"/>
      <c r="W75" s="299"/>
      <c r="X75" s="299"/>
      <c r="Y75" s="299"/>
      <c r="Z75" s="299"/>
      <c r="AA75" s="299"/>
      <c r="AB75" s="299"/>
      <c r="AC75" s="299"/>
      <c r="AD75" s="295"/>
      <c r="AE75" s="302"/>
      <c r="AF75" s="302"/>
      <c r="AG75" s="295"/>
      <c r="AH75" s="295"/>
      <c r="AI75" s="302"/>
      <c r="AJ75" s="302"/>
      <c r="AK75" s="302"/>
      <c r="AL75" s="302"/>
      <c r="AM75" s="302"/>
      <c r="AN75" s="302"/>
      <c r="AO75" s="295"/>
      <c r="AP75" s="295"/>
      <c r="AQ75" s="302"/>
      <c r="AR75" s="302"/>
      <c r="AS75" s="295"/>
      <c r="AT75" s="295"/>
      <c r="AU75" s="295"/>
      <c r="AV75" s="295"/>
      <c r="AW75" s="295"/>
      <c r="AX75" s="295"/>
      <c r="AY75" s="295"/>
      <c r="AZ75" s="295"/>
      <c r="BA75" s="302"/>
      <c r="BB75" s="302"/>
      <c r="BC75" s="302"/>
      <c r="BD75" s="295"/>
      <c r="BE75" s="295"/>
      <c r="BF75" s="299"/>
      <c r="BG75" s="299"/>
      <c r="BH75" s="299"/>
      <c r="BI75" s="299"/>
      <c r="BJ75" s="299"/>
      <c r="BK75" s="97"/>
      <c r="BL75" s="97"/>
      <c r="BM75" s="97"/>
      <c r="BN75" s="97"/>
    </row>
    <row r="76" spans="1:66" ht="12.75">
      <c r="A76" s="8"/>
      <c r="B76" s="298"/>
      <c r="C76" s="298"/>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5"/>
      <c r="AE76" s="302"/>
      <c r="AF76" s="302"/>
      <c r="AG76" s="295"/>
      <c r="AH76" s="295"/>
      <c r="AI76" s="302"/>
      <c r="AJ76" s="302"/>
      <c r="AK76" s="302"/>
      <c r="AL76" s="302"/>
      <c r="AM76" s="302"/>
      <c r="AN76" s="302"/>
      <c r="AO76" s="295"/>
      <c r="AP76" s="295"/>
      <c r="AQ76" s="302"/>
      <c r="AR76" s="302"/>
      <c r="AS76" s="295"/>
      <c r="AT76" s="295"/>
      <c r="AU76" s="295"/>
      <c r="AV76" s="295"/>
      <c r="AW76" s="295"/>
      <c r="AX76" s="295"/>
      <c r="AY76" s="295"/>
      <c r="AZ76" s="295"/>
      <c r="BA76" s="302"/>
      <c r="BB76" s="302"/>
      <c r="BC76" s="302"/>
      <c r="BD76" s="295"/>
      <c r="BE76" s="295"/>
      <c r="BF76" s="299"/>
      <c r="BG76" s="299"/>
      <c r="BH76" s="299"/>
      <c r="BI76" s="299"/>
      <c r="BJ76" s="299"/>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2"/>
      <c r="BB93" s="302"/>
      <c r="BC93" s="302"/>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372</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327</v>
      </c>
      <c r="O4" s="75" t="s">
        <v>326</v>
      </c>
      <c r="P4" s="75" t="s">
        <v>454</v>
      </c>
      <c r="Q4" s="75" t="s">
        <v>455</v>
      </c>
      <c r="R4" s="75" t="s">
        <v>456</v>
      </c>
      <c r="S4" s="75" t="s">
        <v>457</v>
      </c>
      <c r="T4" s="39" t="s">
        <v>278</v>
      </c>
      <c r="U4" s="40" t="s">
        <v>279</v>
      </c>
      <c r="V4" s="41" t="s">
        <v>7</v>
      </c>
      <c r="W4" s="24" t="s">
        <v>2</v>
      </c>
      <c r="X4" s="24" t="s">
        <v>3</v>
      </c>
      <c r="Y4" s="75" t="s">
        <v>557</v>
      </c>
      <c r="Z4" s="75" t="s">
        <v>556</v>
      </c>
      <c r="AA4" s="26" t="s">
        <v>280</v>
      </c>
      <c r="AB4" s="24" t="s">
        <v>5</v>
      </c>
      <c r="AC4" s="75" t="s">
        <v>35</v>
      </c>
      <c r="AD4" s="24" t="s">
        <v>6</v>
      </c>
      <c r="AE4" s="24" t="s">
        <v>281</v>
      </c>
      <c r="AF4" s="24" t="s">
        <v>16</v>
      </c>
      <c r="AG4" s="24" t="s">
        <v>15</v>
      </c>
      <c r="AH4" s="24" t="s">
        <v>14</v>
      </c>
      <c r="AI4" s="25" t="s">
        <v>30</v>
      </c>
      <c r="AJ4" s="47" t="s">
        <v>10</v>
      </c>
      <c r="AK4" s="26" t="s">
        <v>21</v>
      </c>
      <c r="AL4" s="25" t="s">
        <v>22</v>
      </c>
      <c r="AQ4" s="102" t="s">
        <v>369</v>
      </c>
      <c r="AR4" s="102" t="s">
        <v>371</v>
      </c>
      <c r="AS4" s="102" t="s">
        <v>370</v>
      </c>
      <c r="AY4" s="102" t="s">
        <v>451</v>
      </c>
      <c r="AZ4" s="102" t="s">
        <v>452</v>
      </c>
      <c r="BA4" s="102" t="s">
        <v>453</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392</v>
      </c>
      <c r="BA5" s="103" t="s">
        <v>322</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377</v>
      </c>
      <c r="BA6" s="103" t="s">
        <v>322</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1800</v>
      </c>
      <c r="E7" s="38">
        <f>IF(LEFT(VLOOKUP($B7,'Indicator chart'!$D$1:$J$36,5,FALSE),1)=" "," ",VLOOKUP($B7,'Indicator chart'!$D$1:$J$36,5,FALSE))</f>
        <v>0.14441591784338895</v>
      </c>
      <c r="F7" s="38">
        <f>IF(LEFT(VLOOKUP($B7,'Indicator chart'!$D$1:$J$36,6,FALSE),1)=" "," ",VLOOKUP($B7,'Indicator chart'!$D$1:$J$36,6,FALSE))</f>
        <v>0.13835430696583748</v>
      </c>
      <c r="G7" s="38">
        <f>IF(LEFT(VLOOKUP($B7,'Indicator chart'!$D$1:$J$36,7,FALSE),1)=" "," ",VLOOKUP($B7,'Indicator chart'!$D$1:$J$36,7,FALSE))</f>
        <v>0.15069665434891008</v>
      </c>
      <c r="H7" s="50">
        <f aca="true" t="shared" si="0" ref="H7:H31">IF(LEFT(F7,1)=" ",4,IF(AND(ABS(N7-E7)&gt;SQRT((E7-G7)^2+(N7-R7)^2),E7&lt;N7),1,IF(AND(ABS(N7-E7)&gt;SQRT((E7-F7)^2+(N7-S7)^2),E7&gt;N7),3,2)))</f>
        <v>1</v>
      </c>
      <c r="I7" s="38">
        <v>0.09871159493923187</v>
      </c>
      <c r="J7" s="38">
        <v>0.14796902239322662</v>
      </c>
      <c r="K7" s="38">
        <v>0.16795068979263306</v>
      </c>
      <c r="L7" s="38">
        <v>0.17642046511173248</v>
      </c>
      <c r="M7" s="38">
        <v>0.1960286647081375</v>
      </c>
      <c r="N7" s="80">
        <f>VLOOKUP('Hide - Control'!B$3,'All practice data'!A:CA,A7+29,FALSE)</f>
        <v>0.1631676724850267</v>
      </c>
      <c r="O7" s="80">
        <f>VLOOKUP('Hide - Control'!C$3,'All practice data'!A:CA,A7+29,FALSE)</f>
        <v>0.1599882305185145</v>
      </c>
      <c r="P7" s="38">
        <f>VLOOKUP('Hide - Control'!$B$4,'All practice data'!B:BC,A7+2,FALSE)</f>
        <v>57265</v>
      </c>
      <c r="Q7" s="38">
        <f>VLOOKUP('Hide - Control'!$B$4,'All practice data'!B:BC,3,FALSE)</f>
        <v>350958</v>
      </c>
      <c r="R7" s="38">
        <f>+((2*P7+1.96^2-1.96*SQRT(1.96^2+4*P7*(1-P7/Q7)))/(2*(Q7+1.96^2)))</f>
        <v>0.16194881575836484</v>
      </c>
      <c r="S7" s="38">
        <f>+((2*P7+1.96^2+1.96*SQRT(1.96^2+4*P7*(1-P7/Q7)))/(2*(Q7+1.96^2)))</f>
        <v>0.16439390309064636</v>
      </c>
      <c r="T7" s="53">
        <f>IF($C7=1,M7,I7)</f>
        <v>0.1960286647081375</v>
      </c>
      <c r="U7" s="51">
        <f aca="true" t="shared" si="1" ref="U7:U15">IF($C7=1,I7,M7)</f>
        <v>0.09871159493923187</v>
      </c>
      <c r="V7" s="7">
        <v>1</v>
      </c>
      <c r="W7" s="27">
        <f aca="true" t="shared" si="2" ref="W7:W31">IF((K7-I7)&gt;(M7-K7),I7,(K7-(M7-K7)))</f>
        <v>0.09871159493923187</v>
      </c>
      <c r="X7" s="27">
        <f aca="true" t="shared" si="3" ref="X7:X31">IF(W7=I7,K7+(K7-I7),M7)</f>
        <v>0.23718978464603424</v>
      </c>
      <c r="Y7" s="27">
        <f aca="true" t="shared" si="4" ref="Y7:Y31">IF(C7=1,W7,X7)</f>
        <v>0.09871159493923187</v>
      </c>
      <c r="Z7" s="27">
        <f aca="true" t="shared" si="5" ref="Z7:Z31">IF(C7=1,X7,W7)</f>
        <v>0.23718978464603424</v>
      </c>
      <c r="AA7" s="32">
        <f aca="true" t="shared" si="6" ref="AA7:AA31">IF(ISERROR(IF(C7=1,(I7-$Y7)/($Z7-$Y7),(U7-$Y7)/($Z7-$Y7))),"",IF(C7=1,(I7-$Y7)/($Z7-$Y7),(U7-$Y7)/($Z7-$Y7)))</f>
        <v>0</v>
      </c>
      <c r="AB7" s="33">
        <f aca="true" t="shared" si="7" ref="AB7:AB31">IF(ISERROR(IF(C7=1,(J7-$Y7)/($Z7-$Y7),(L7-$Y7)/($Z7-$Y7))),"",IF(C7=1,(J7-$Y7)/($Z7-$Y7),(L7-$Y7)/($Z7-$Y7)))</f>
        <v>0.3557053104051021</v>
      </c>
      <c r="AC7" s="33">
        <v>0.5</v>
      </c>
      <c r="AD7" s="33">
        <f aca="true" t="shared" si="8" ref="AD7:AD31">IF(ISERROR(IF(C7=1,(L7-$Y7)/($Z7-$Y7),(J7-$Y7)/($Z7-$Y7))),"",IF(C7=1,(L7-$Y7)/($Z7-$Y7),(J7-$Y7)/($Z7-$Y7)))</f>
        <v>0.5611632440966505</v>
      </c>
      <c r="AE7" s="33">
        <f aca="true" t="shared" si="9" ref="AE7:AE31">IF(ISERROR(IF(C7=1,(M7-$Y7)/($Z7-$Y7),(I7-$Y7)/($Z7-$Y7))),"",IF(C7=1,(M7-$Y7)/($Z7-$Y7),(I7-$Y7)/($Z7-$Y7)))</f>
        <v>0.7027609905570942</v>
      </c>
      <c r="AF7" s="33">
        <f aca="true" t="shared" si="10" ref="AF7:AF30">IF(E7=" ",-999,IF(H7=4,(E7-$Y7)/($Z7-$Y7),-999))</f>
        <v>-999</v>
      </c>
      <c r="AG7" s="33">
        <f aca="true" t="shared" si="11" ref="AG7:AG31">IF(E7=" ",-999,IF(H7=2,(E7-$Y7)/($Z7-$Y7),-999))</f>
        <v>-999</v>
      </c>
      <c r="AH7" s="33">
        <f aca="true" t="shared" si="12" ref="AH7:AH31">IF(E7=" ",-999,IF(MAX(AK7:AL7)&gt;-999,MAX(AK7:AL7),-999))</f>
        <v>0.33004708539970157</v>
      </c>
      <c r="AI7" s="34">
        <f aca="true" t="shared" si="13" ref="AI7:AI31">IF(ISERROR((O7-$Y7)/($Z7-$Y7)),-999,(O7-$Y7)/($Z7-$Y7))</f>
        <v>0.44250026454723773</v>
      </c>
      <c r="AJ7" s="4">
        <v>2.7020512924389086</v>
      </c>
      <c r="AK7" s="32">
        <f aca="true" t="shared" si="14" ref="AK7:AK31">IF(H7=1,(E7-$Y7)/($Z7-$Y7),-999)</f>
        <v>0.33004708539970157</v>
      </c>
      <c r="AL7" s="34">
        <f aca="true" t="shared" si="15" ref="AL7:AL31">IF(H7=3,(E7-$Y7)/($Z7-$Y7),-999)</f>
        <v>-999</v>
      </c>
      <c r="AQ7" s="103">
        <v>2</v>
      </c>
      <c r="AR7" s="103">
        <v>0.2422</v>
      </c>
      <c r="AS7" s="103">
        <v>7.2247</v>
      </c>
      <c r="AY7" s="103" t="s">
        <v>68</v>
      </c>
      <c r="AZ7" s="103" t="s">
        <v>376</v>
      </c>
      <c r="BA7" s="103" t="s">
        <v>322</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0.15</v>
      </c>
      <c r="F8" s="38">
        <f>IF(LEFT(VLOOKUP($B8,'Indicator chart'!$D$1:$J$36,6,FALSE),1)=" "," ",VLOOKUP($B8,'Indicator chart'!$D$1:$J$36,6,FALSE))</f>
        <v>0.14383910884847437</v>
      </c>
      <c r="G8" s="38">
        <f>IF(LEFT(VLOOKUP($B8,'Indicator chart'!$D$1:$J$36,7,FALSE),1)=" "," ",VLOOKUP($B8,'Indicator chart'!$D$1:$J$36,7,FALSE))</f>
        <v>0.15637657563696217</v>
      </c>
      <c r="H8" s="50">
        <f t="shared" si="0"/>
        <v>2</v>
      </c>
      <c r="I8" s="38">
        <v>0.07999999821186066</v>
      </c>
      <c r="J8" s="38">
        <v>0.11999999731779099</v>
      </c>
      <c r="K8" s="38">
        <v>0.1599999964237213</v>
      </c>
      <c r="L8" s="38">
        <v>0.1899999976158142</v>
      </c>
      <c r="M8" s="38">
        <v>0.2800000011920929</v>
      </c>
      <c r="N8" s="80">
        <f>VLOOKUP('Hide - Control'!B$3,'All practice data'!A:CA,A8+29,FALSE)</f>
        <v>0.15633528798317742</v>
      </c>
      <c r="O8" s="80">
        <f>VLOOKUP('Hide - Control'!C$3,'All practice data'!A:CA,A8+29,FALSE)</f>
        <v>0.15010930292554353</v>
      </c>
      <c r="P8" s="38">
        <f>VLOOKUP('Hide - Control'!$B$4,'All practice data'!B:BC,A8+2,FALSE)</f>
        <v>54867.11999999998</v>
      </c>
      <c r="Q8" s="38">
        <f>VLOOKUP('Hide - Control'!$B$4,'All practice data'!B:BC,3,FALSE)</f>
        <v>350958</v>
      </c>
      <c r="R8" s="38">
        <f>+((2*P8+1.96^2-1.96*SQRT(1.96^2+4*P8*(1-P8/Q8)))/(2*(Q8+1.96^2)))</f>
        <v>0.15513750011628483</v>
      </c>
      <c r="S8" s="38">
        <f>+((2*P8+1.96^2+1.96*SQRT(1.96^2+4*P8*(1-P8/Q8)))/(2*(Q8+1.96^2)))</f>
        <v>0.15754059930248676</v>
      </c>
      <c r="T8" s="53">
        <f aca="true" t="shared" si="16" ref="T8:T15">IF($C8=1,M8,I8)</f>
        <v>0.2800000011920929</v>
      </c>
      <c r="U8" s="51">
        <f t="shared" si="1"/>
        <v>0.07999999821186066</v>
      </c>
      <c r="V8" s="7"/>
      <c r="W8" s="27">
        <f t="shared" si="2"/>
        <v>0.03999999165534973</v>
      </c>
      <c r="X8" s="27">
        <f t="shared" si="3"/>
        <v>0.2800000011920929</v>
      </c>
      <c r="Y8" s="27">
        <f t="shared" si="4"/>
        <v>0.03999999165534973</v>
      </c>
      <c r="Z8" s="27">
        <f t="shared" si="5"/>
        <v>0.2800000011920929</v>
      </c>
      <c r="AA8" s="32">
        <f t="shared" si="6"/>
        <v>0.16666668736272305</v>
      </c>
      <c r="AB8" s="33">
        <f t="shared" si="7"/>
        <v>0.3333333436813615</v>
      </c>
      <c r="AC8" s="33">
        <v>0.5</v>
      </c>
      <c r="AD8" s="33">
        <f t="shared" si="8"/>
        <v>0.625</v>
      </c>
      <c r="AE8" s="33">
        <f t="shared" si="9"/>
        <v>1</v>
      </c>
      <c r="AF8" s="33">
        <f t="shared" si="10"/>
        <v>-999</v>
      </c>
      <c r="AG8" s="33">
        <f t="shared" si="11"/>
        <v>0.45833334989017843</v>
      </c>
      <c r="AH8" s="33">
        <f t="shared" si="12"/>
        <v>-999</v>
      </c>
      <c r="AI8" s="34">
        <f t="shared" si="13"/>
        <v>0.4587887787285127</v>
      </c>
      <c r="AJ8" s="4">
        <v>3.778046717820832</v>
      </c>
      <c r="AK8" s="32">
        <f t="shared" si="14"/>
        <v>-999</v>
      </c>
      <c r="AL8" s="34">
        <f t="shared" si="15"/>
        <v>-999</v>
      </c>
      <c r="AQ8" s="103">
        <v>3</v>
      </c>
      <c r="AR8" s="103">
        <v>0.6187</v>
      </c>
      <c r="AS8" s="103">
        <v>8.7673</v>
      </c>
      <c r="AY8" s="103" t="s">
        <v>118</v>
      </c>
      <c r="AZ8" s="103" t="s">
        <v>119</v>
      </c>
      <c r="BA8" s="103" t="s">
        <v>322</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73</v>
      </c>
      <c r="E9" s="38">
        <f>IF(LEFT(VLOOKUP($B9,'Indicator chart'!$D$1:$J$36,5,FALSE),1)=" "," ",VLOOKUP($B9,'Indicator chart'!$D$1:$J$36,5,FALSE))</f>
        <v>585.6867779204108</v>
      </c>
      <c r="F9" s="38">
        <f>IF(LEFT(VLOOKUP($B9,'Indicator chart'!$D$1:$J$36,6,FALSE),1)=" "," ",VLOOKUP($B9,'Indicator chart'!$D$1:$J$36,6,FALSE))</f>
        <v>459.0645888866584</v>
      </c>
      <c r="G9" s="38">
        <f>IF(LEFT(VLOOKUP($B9,'Indicator chart'!$D$1:$J$36,7,FALSE),1)=" "," ",VLOOKUP($B9,'Indicator chart'!$D$1:$J$36,7,FALSE))</f>
        <v>736.4261788760783</v>
      </c>
      <c r="H9" s="50">
        <f t="shared" si="0"/>
        <v>2</v>
      </c>
      <c r="I9" s="38">
        <v>159.63107299804688</v>
      </c>
      <c r="J9" s="38">
        <v>455.84173583984375</v>
      </c>
      <c r="K9" s="38">
        <v>540.3458251953125</v>
      </c>
      <c r="L9" s="38">
        <v>611.355712890625</v>
      </c>
      <c r="M9" s="38">
        <v>730.8161010742188</v>
      </c>
      <c r="N9" s="80">
        <f>VLOOKUP('Hide - Control'!B$3,'All practice data'!A:CA,A9+29,FALSE)</f>
        <v>511.1722770246012</v>
      </c>
      <c r="O9" s="80">
        <f>VLOOKUP('Hide - Control'!C$3,'All practice data'!A:CA,A9+29,FALSE)</f>
        <v>445.6198871279627</v>
      </c>
      <c r="P9" s="38">
        <f>VLOOKUP('Hide - Control'!$B$4,'All practice data'!B:BC,A9+2,FALSE)</f>
        <v>1794</v>
      </c>
      <c r="Q9" s="38">
        <f>VLOOKUP('Hide - Control'!$B$4,'All practice data'!B:BC,3,FALSE)</f>
        <v>350958</v>
      </c>
      <c r="R9" s="38">
        <f>100000*(P9*(1-1/(9*P9)-1.96/(3*SQRT(P9)))^3)/Q9</f>
        <v>487.78879279269165</v>
      </c>
      <c r="S9" s="38">
        <f>100000*((P9+1)*(1-1/(9*(P9+1))+1.96/(3*SQRT(P9+1)))^3)/Q9</f>
        <v>535.387033923171</v>
      </c>
      <c r="T9" s="53">
        <f t="shared" si="16"/>
        <v>730.8161010742188</v>
      </c>
      <c r="U9" s="51">
        <f t="shared" si="1"/>
        <v>159.63107299804688</v>
      </c>
      <c r="V9" s="7"/>
      <c r="W9" s="27">
        <f t="shared" si="2"/>
        <v>159.63107299804688</v>
      </c>
      <c r="X9" s="27">
        <f t="shared" si="3"/>
        <v>921.0605773925781</v>
      </c>
      <c r="Y9" s="27">
        <f t="shared" si="4"/>
        <v>159.63107299804688</v>
      </c>
      <c r="Z9" s="27">
        <f t="shared" si="5"/>
        <v>921.0605773925781</v>
      </c>
      <c r="AA9" s="32">
        <f t="shared" si="6"/>
        <v>0</v>
      </c>
      <c r="AB9" s="33">
        <f t="shared" si="7"/>
        <v>0.3890191555912137</v>
      </c>
      <c r="AC9" s="33">
        <v>0.5</v>
      </c>
      <c r="AD9" s="33">
        <f t="shared" si="8"/>
        <v>0.5932586500595057</v>
      </c>
      <c r="AE9" s="33">
        <f t="shared" si="9"/>
        <v>0.7501482734509523</v>
      </c>
      <c r="AF9" s="33">
        <f t="shared" si="10"/>
        <v>-999</v>
      </c>
      <c r="AG9" s="33">
        <f t="shared" si="11"/>
        <v>0.5595471445004646</v>
      </c>
      <c r="AH9" s="33">
        <f t="shared" si="12"/>
        <v>-999</v>
      </c>
      <c r="AI9" s="34">
        <f t="shared" si="13"/>
        <v>0.3755946052515087</v>
      </c>
      <c r="AJ9" s="4">
        <v>4.854042143202755</v>
      </c>
      <c r="AK9" s="32">
        <f t="shared" si="14"/>
        <v>-999</v>
      </c>
      <c r="AL9" s="34">
        <f t="shared" si="15"/>
        <v>-999</v>
      </c>
      <c r="AQ9" s="103">
        <v>4</v>
      </c>
      <c r="AR9" s="103">
        <v>1.0899</v>
      </c>
      <c r="AS9" s="103">
        <v>10.2416</v>
      </c>
      <c r="AY9" s="103" t="s">
        <v>90</v>
      </c>
      <c r="AZ9" s="103" t="s">
        <v>386</v>
      </c>
      <c r="BA9" s="103" t="s">
        <v>322</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29</v>
      </c>
      <c r="E10" s="38">
        <f>IF(LEFT(VLOOKUP($B10,'Indicator chart'!$D$1:$J$36,5,FALSE),1)=" "," ",VLOOKUP($B10,'Indicator chart'!$D$1:$J$36,5,FALSE))</f>
        <v>232.67008985879332</v>
      </c>
      <c r="F10" s="38">
        <f>IF(LEFT(VLOOKUP($B10,'Indicator chart'!$D$1:$J$36,6,FALSE),1)=" "," ",VLOOKUP($B10,'Indicator chart'!$D$1:$J$36,6,FALSE))</f>
        <v>155.7893673400746</v>
      </c>
      <c r="G10" s="38">
        <f>IF(LEFT(VLOOKUP($B10,'Indicator chart'!$D$1:$J$36,7,FALSE),1)=" "," ",VLOOKUP($B10,'Indicator chart'!$D$1:$J$36,7,FALSE))</f>
        <v>334.1671477021268</v>
      </c>
      <c r="H10" s="50">
        <f t="shared" si="0"/>
        <v>2</v>
      </c>
      <c r="I10" s="38">
        <v>176.4234161376953</v>
      </c>
      <c r="J10" s="38">
        <v>238.2737579345703</v>
      </c>
      <c r="K10" s="38">
        <v>283.8892822265625</v>
      </c>
      <c r="L10" s="38">
        <v>318.5736083984375</v>
      </c>
      <c r="M10" s="38">
        <v>427.5653991699219</v>
      </c>
      <c r="N10" s="80">
        <f>VLOOKUP('Hide - Control'!B$3,'All practice data'!A:CA,A10+29,FALSE)</f>
        <v>276.67128260361636</v>
      </c>
      <c r="O10" s="80">
        <f>VLOOKUP('Hide - Control'!C$3,'All practice data'!A:CA,A10+29,FALSE)</f>
        <v>234.12259778895606</v>
      </c>
      <c r="P10" s="38">
        <f>VLOOKUP('Hide - Control'!$B$4,'All practice data'!B:BC,A10+2,FALSE)</f>
        <v>971</v>
      </c>
      <c r="Q10" s="38">
        <f>VLOOKUP('Hide - Control'!$B$4,'All practice data'!B:BC,3,FALSE)</f>
        <v>350958</v>
      </c>
      <c r="R10" s="38">
        <f>100000*(P10*(1-1/(9*P10)-1.96/(3*SQRT(P10)))^3)/Q10</f>
        <v>259.5401182328828</v>
      </c>
      <c r="S10" s="38">
        <f>100000*((P10+1)*(1-1/(9*(P10+1))+1.96/(3*SQRT(P10+1)))^3)/Q10</f>
        <v>294.63605883752575</v>
      </c>
      <c r="T10" s="53">
        <f t="shared" si="16"/>
        <v>427.5653991699219</v>
      </c>
      <c r="U10" s="51">
        <f t="shared" si="1"/>
        <v>176.4234161376953</v>
      </c>
      <c r="V10" s="7"/>
      <c r="W10" s="27">
        <f t="shared" si="2"/>
        <v>140.21316528320312</v>
      </c>
      <c r="X10" s="27">
        <f t="shared" si="3"/>
        <v>427.5653991699219</v>
      </c>
      <c r="Y10" s="27">
        <f t="shared" si="4"/>
        <v>140.21316528320312</v>
      </c>
      <c r="Z10" s="27">
        <f t="shared" si="5"/>
        <v>427.5653991699219</v>
      </c>
      <c r="AA10" s="32">
        <f t="shared" si="6"/>
        <v>0.12601346565054772</v>
      </c>
      <c r="AB10" s="33">
        <f t="shared" si="7"/>
        <v>0.3412557171559176</v>
      </c>
      <c r="AC10" s="33">
        <v>0.5</v>
      </c>
      <c r="AD10" s="33">
        <f t="shared" si="8"/>
        <v>0.6207031722104113</v>
      </c>
      <c r="AE10" s="33">
        <f t="shared" si="9"/>
        <v>1</v>
      </c>
      <c r="AF10" s="33">
        <f t="shared" si="10"/>
        <v>-999</v>
      </c>
      <c r="AG10" s="33">
        <f t="shared" si="11"/>
        <v>0.3217546748289382</v>
      </c>
      <c r="AH10" s="33">
        <f t="shared" si="12"/>
        <v>-999</v>
      </c>
      <c r="AI10" s="34">
        <f t="shared" si="13"/>
        <v>0.3268094743358575</v>
      </c>
      <c r="AJ10" s="4">
        <v>5.930037568584676</v>
      </c>
      <c r="AK10" s="32">
        <f t="shared" si="14"/>
        <v>-999</v>
      </c>
      <c r="AL10" s="34">
        <f t="shared" si="15"/>
        <v>-999</v>
      </c>
      <c r="AY10" s="103" t="s">
        <v>96</v>
      </c>
      <c r="AZ10" s="103" t="s">
        <v>97</v>
      </c>
      <c r="BA10" s="103" t="s">
        <v>503</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196</v>
      </c>
      <c r="E11" s="38">
        <f>IF(LEFT(VLOOKUP($B11,'Indicator chart'!$D$1:$J$36,5,FALSE),1)=" "," ",VLOOKUP($B11,'Indicator chart'!$D$1:$J$36,5,FALSE))</f>
        <v>0.016</v>
      </c>
      <c r="F11" s="38">
        <f>IF(LEFT(VLOOKUP($B11,'Indicator chart'!$D$1:$J$36,6,FALSE),1)=" "," ",VLOOKUP($B11,'Indicator chart'!$D$1:$J$36,6,FALSE))</f>
        <v>0.013685586694028529</v>
      </c>
      <c r="G11" s="38">
        <f>IF(LEFT(VLOOKUP($B11,'Indicator chart'!$D$1:$J$36,7,FALSE),1)=" "," ",VLOOKUP($B11,'Indicator chart'!$D$1:$J$36,7,FALSE))</f>
        <v>0.018063421089323482</v>
      </c>
      <c r="H11" s="50">
        <f t="shared" si="0"/>
        <v>2</v>
      </c>
      <c r="I11" s="38">
        <v>0.00800000037997961</v>
      </c>
      <c r="J11" s="38">
        <v>0.011500000022351742</v>
      </c>
      <c r="K11" s="38">
        <v>0.014999999664723873</v>
      </c>
      <c r="L11" s="38">
        <v>0.01850000023841858</v>
      </c>
      <c r="M11" s="38">
        <v>0.024000000208616257</v>
      </c>
      <c r="N11" s="80">
        <f>VLOOKUP('Hide - Control'!B$3,'All practice data'!A:CA,A11+29,FALSE)</f>
        <v>0.015645746784515527</v>
      </c>
      <c r="O11" s="80">
        <f>VLOOKUP('Hide - Control'!C$3,'All practice data'!A:CA,A11+29,FALSE)</f>
        <v>0.015940726342527432</v>
      </c>
      <c r="P11" s="38">
        <f>VLOOKUP('Hide - Control'!$B$4,'All practice data'!B:BC,A11+2,FALSE)</f>
        <v>5491</v>
      </c>
      <c r="Q11" s="38">
        <f>VLOOKUP('Hide - Control'!$B$4,'All practice data'!B:BC,3,FALSE)</f>
        <v>350958</v>
      </c>
      <c r="R11" s="80">
        <f aca="true" t="shared" si="17" ref="R11:R16">+((2*P11+1.96^2-1.96*SQRT(1.96^2+4*P11*(1-P11/Q11)))/(2*(Q11+1.96^2)))</f>
        <v>0.015240432188092323</v>
      </c>
      <c r="S11" s="80">
        <f aca="true" t="shared" si="18" ref="S11:S16">+((2*P11+1.96^2+1.96*SQRT(1.96^2+4*P11*(1-P11/Q11)))/(2*(Q11+1.96^2)))</f>
        <v>0.016061664786087677</v>
      </c>
      <c r="T11" s="53">
        <f t="shared" si="16"/>
        <v>0.024000000208616257</v>
      </c>
      <c r="U11" s="51">
        <f t="shared" si="1"/>
        <v>0.00800000037997961</v>
      </c>
      <c r="V11" s="7"/>
      <c r="W11" s="27">
        <f t="shared" si="2"/>
        <v>0.0059999991208314896</v>
      </c>
      <c r="X11" s="27">
        <f t="shared" si="3"/>
        <v>0.024000000208616257</v>
      </c>
      <c r="Y11" s="27">
        <f t="shared" si="4"/>
        <v>0.0059999991208314896</v>
      </c>
      <c r="Z11" s="27">
        <f t="shared" si="5"/>
        <v>0.024000000208616257</v>
      </c>
      <c r="AA11" s="32">
        <f t="shared" si="6"/>
        <v>0.11111117434905989</v>
      </c>
      <c r="AB11" s="33">
        <f t="shared" si="7"/>
        <v>0.30555558717452996</v>
      </c>
      <c r="AC11" s="33">
        <v>0.5</v>
      </c>
      <c r="AD11" s="33">
        <f t="shared" si="8"/>
        <v>0.6944444645656099</v>
      </c>
      <c r="AE11" s="33">
        <f t="shared" si="9"/>
        <v>1</v>
      </c>
      <c r="AF11" s="33">
        <f t="shared" si="10"/>
        <v>-999</v>
      </c>
      <c r="AG11" s="33">
        <f t="shared" si="11"/>
        <v>0.5555555708246458</v>
      </c>
      <c r="AH11" s="33">
        <f t="shared" si="12"/>
        <v>-999</v>
      </c>
      <c r="AI11" s="34">
        <f t="shared" si="13"/>
        <v>0.5522625900529505</v>
      </c>
      <c r="AJ11" s="4">
        <v>7.0060329939666</v>
      </c>
      <c r="AK11" s="32">
        <f t="shared" si="14"/>
        <v>-999</v>
      </c>
      <c r="AL11" s="34">
        <f t="shared" si="15"/>
        <v>-999</v>
      </c>
      <c r="AY11" s="103" t="s">
        <v>214</v>
      </c>
      <c r="AZ11" s="103" t="s">
        <v>215</v>
      </c>
      <c r="BA11" s="103" t="s">
        <v>503</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944</v>
      </c>
      <c r="E12" s="38">
        <f>IF(LEFT(VLOOKUP($B12,'Indicator chart'!$D$1:$J$36,5,FALSE),1)=" "," ",VLOOKUP($B12,'Indicator chart'!$D$1:$J$36,5,FALSE))</f>
        <v>0.687045</v>
      </c>
      <c r="F12" s="38">
        <f>IF(LEFT(VLOOKUP($B12,'Indicator chart'!$D$1:$J$36,6,FALSE),1)=" "," ",VLOOKUP($B12,'Indicator chart'!$D$1:$J$36,6,FALSE))</f>
        <v>0.6620336390950252</v>
      </c>
      <c r="G12" s="38">
        <f>IF(LEFT(VLOOKUP($B12,'Indicator chart'!$D$1:$J$36,7,FALSE),1)=" "," ",VLOOKUP($B12,'Indicator chart'!$D$1:$J$36,7,FALSE))</f>
        <v>0.7110135965233507</v>
      </c>
      <c r="H12" s="50">
        <f t="shared" si="0"/>
        <v>1</v>
      </c>
      <c r="I12" s="38">
        <v>0.5813949704170227</v>
      </c>
      <c r="J12" s="38">
        <v>0.6894940137863159</v>
      </c>
      <c r="K12" s="38">
        <v>0.7260940074920654</v>
      </c>
      <c r="L12" s="38">
        <v>0.7633464932441711</v>
      </c>
      <c r="M12" s="38">
        <v>0.8469949960708618</v>
      </c>
      <c r="N12" s="80">
        <f>VLOOKUP('Hide - Control'!B$3,'All practice data'!A:CA,A12+29,FALSE)</f>
        <v>0.731057319022608</v>
      </c>
      <c r="O12" s="80">
        <f>VLOOKUP('Hide - Control'!C$3,'All practice data'!A:CA,A12+29,FALSE)</f>
        <v>0.7248631360507991</v>
      </c>
      <c r="P12" s="38">
        <f>VLOOKUP('Hide - Control'!$B$4,'All practice data'!B:BC,A12+2,FALSE)</f>
        <v>32013</v>
      </c>
      <c r="Q12" s="38">
        <f>VLOOKUP('Hide - Control'!$B$4,'All practice data'!B:BJ,57,FALSE)</f>
        <v>43790</v>
      </c>
      <c r="R12" s="38">
        <f t="shared" si="17"/>
        <v>0.7268840662346282</v>
      </c>
      <c r="S12" s="38">
        <f t="shared" si="18"/>
        <v>0.735190035070063</v>
      </c>
      <c r="T12" s="53">
        <f t="shared" si="16"/>
        <v>0.8469949960708618</v>
      </c>
      <c r="U12" s="51">
        <f t="shared" si="1"/>
        <v>0.5813949704170227</v>
      </c>
      <c r="V12" s="7"/>
      <c r="W12" s="27">
        <f t="shared" si="2"/>
        <v>0.5813949704170227</v>
      </c>
      <c r="X12" s="27">
        <f t="shared" si="3"/>
        <v>0.8707930445671082</v>
      </c>
      <c r="Y12" s="27">
        <f t="shared" si="4"/>
        <v>0.5813949704170227</v>
      </c>
      <c r="Z12" s="27">
        <f t="shared" si="5"/>
        <v>0.8707930445671082</v>
      </c>
      <c r="AA12" s="32">
        <f t="shared" si="6"/>
        <v>0</v>
      </c>
      <c r="AB12" s="33">
        <f t="shared" si="7"/>
        <v>0.37353062451007085</v>
      </c>
      <c r="AC12" s="33">
        <v>0.5</v>
      </c>
      <c r="AD12" s="33">
        <f t="shared" si="8"/>
        <v>0.6287240278343598</v>
      </c>
      <c r="AE12" s="33">
        <f t="shared" si="9"/>
        <v>0.9177670806340461</v>
      </c>
      <c r="AF12" s="33">
        <f t="shared" si="10"/>
        <v>-999</v>
      </c>
      <c r="AG12" s="33">
        <f t="shared" si="11"/>
        <v>-999</v>
      </c>
      <c r="AH12" s="33">
        <f t="shared" si="12"/>
        <v>0.3650681846907726</v>
      </c>
      <c r="AI12" s="34">
        <f t="shared" si="13"/>
        <v>0.4957467877252425</v>
      </c>
      <c r="AJ12" s="4">
        <v>8.082028419348523</v>
      </c>
      <c r="AK12" s="32">
        <f t="shared" si="14"/>
        <v>0.3650681846907726</v>
      </c>
      <c r="AL12" s="34">
        <f t="shared" si="15"/>
        <v>-999</v>
      </c>
      <c r="AY12" s="103" t="s">
        <v>261</v>
      </c>
      <c r="AZ12" s="103" t="s">
        <v>439</v>
      </c>
      <c r="BA12" s="103" t="s">
        <v>322</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14</v>
      </c>
      <c r="E13" s="38">
        <f>IF(LEFT(VLOOKUP($B13,'Indicator chart'!$D$1:$J$36,5,FALSE),1)=" "," ",VLOOKUP($B13,'Indicator chart'!$D$1:$J$36,5,FALSE))</f>
        <v>0.518519</v>
      </c>
      <c r="F13" s="38">
        <f>IF(LEFT(VLOOKUP($B13,'Indicator chart'!$D$1:$J$36,6,FALSE),1)=" "," ",VLOOKUP($B13,'Indicator chart'!$D$1:$J$36,6,FALSE))</f>
        <v>0.3398532458621043</v>
      </c>
      <c r="G13" s="38">
        <f>IF(LEFT(VLOOKUP($B13,'Indicator chart'!$D$1:$J$36,7,FALSE),1)=" "," ",VLOOKUP($B13,'Indicator chart'!$D$1:$J$36,7,FALSE))</f>
        <v>0.6925704935029092</v>
      </c>
      <c r="H13" s="50">
        <f t="shared" si="0"/>
        <v>1</v>
      </c>
      <c r="I13" s="38">
        <v>0.09090899676084518</v>
      </c>
      <c r="J13" s="38">
        <v>0.5465369820594788</v>
      </c>
      <c r="K13" s="38">
        <v>0.7269619703292847</v>
      </c>
      <c r="L13" s="38">
        <v>0.7712745070457458</v>
      </c>
      <c r="M13" s="38">
        <v>0.8554499745368958</v>
      </c>
      <c r="N13" s="80">
        <f>VLOOKUP('Hide - Control'!B$3,'All practice data'!A:CA,A13+29,FALSE)</f>
        <v>0.7593998888683089</v>
      </c>
      <c r="O13" s="80">
        <f>VLOOKUP('Hide - Control'!C$3,'All practice data'!A:CA,A13+29,FALSE)</f>
        <v>0.7467412166569077</v>
      </c>
      <c r="P13" s="38">
        <f>VLOOKUP('Hide - Control'!$B$4,'All practice data'!B:BC,A13+2,FALSE)</f>
        <v>16400</v>
      </c>
      <c r="Q13" s="38">
        <f>VLOOKUP('Hide - Control'!$B$4,'All practice data'!B:BJ,58,FALSE)</f>
        <v>21596</v>
      </c>
      <c r="R13" s="38">
        <f t="shared" si="17"/>
        <v>0.7536530537756693</v>
      </c>
      <c r="S13" s="38">
        <f t="shared" si="18"/>
        <v>0.7650544537830898</v>
      </c>
      <c r="T13" s="53">
        <f t="shared" si="16"/>
        <v>0.8554499745368958</v>
      </c>
      <c r="U13" s="51">
        <f t="shared" si="1"/>
        <v>0.09090899676084518</v>
      </c>
      <c r="V13" s="7"/>
      <c r="W13" s="27">
        <f t="shared" si="2"/>
        <v>0.09090899676084518</v>
      </c>
      <c r="X13" s="27">
        <f t="shared" si="3"/>
        <v>1.3630149438977242</v>
      </c>
      <c r="Y13" s="27">
        <f t="shared" si="4"/>
        <v>0.09090899676084518</v>
      </c>
      <c r="Z13" s="27">
        <f t="shared" si="5"/>
        <v>1.3630149438977242</v>
      </c>
      <c r="AA13" s="32">
        <f t="shared" si="6"/>
        <v>0</v>
      </c>
      <c r="AB13" s="33">
        <f t="shared" si="7"/>
        <v>0.3581682691792399</v>
      </c>
      <c r="AC13" s="33">
        <v>0.5</v>
      </c>
      <c r="AD13" s="33">
        <f t="shared" si="8"/>
        <v>0.5348339985487806</v>
      </c>
      <c r="AE13" s="33">
        <f t="shared" si="9"/>
        <v>0.6010041691077683</v>
      </c>
      <c r="AF13" s="33">
        <f t="shared" si="10"/>
        <v>-999</v>
      </c>
      <c r="AG13" s="33">
        <f t="shared" si="11"/>
        <v>-999</v>
      </c>
      <c r="AH13" s="33">
        <f t="shared" si="12"/>
        <v>0.3361433882150885</v>
      </c>
      <c r="AI13" s="34">
        <f t="shared" si="13"/>
        <v>0.5155484268996149</v>
      </c>
      <c r="AJ13" s="4">
        <v>9.158023844730446</v>
      </c>
      <c r="AK13" s="32">
        <f t="shared" si="14"/>
        <v>0.3361433882150885</v>
      </c>
      <c r="AL13" s="34">
        <f t="shared" si="15"/>
        <v>-999</v>
      </c>
      <c r="AY13" s="103" t="s">
        <v>260</v>
      </c>
      <c r="AZ13" s="103" t="s">
        <v>438</v>
      </c>
      <c r="BA13" s="103" t="s">
        <v>322</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2284</v>
      </c>
      <c r="E14" s="38">
        <f>IF(LEFT(VLOOKUP($B14,'Indicator chart'!$D$1:$J$36,5,FALSE),1)=" "," ",VLOOKUP($B14,'Indicator chart'!$D$1:$J$36,5,FALSE))</f>
        <v>0.711083</v>
      </c>
      <c r="F14" s="38">
        <f>IF(LEFT(VLOOKUP($B14,'Indicator chart'!$D$1:$J$36,6,FALSE),1)=" "," ",VLOOKUP($B14,'Indicator chart'!$D$1:$J$36,6,FALSE))</f>
        <v>0.6951633541981563</v>
      </c>
      <c r="G14" s="38">
        <f>IF(LEFT(VLOOKUP($B14,'Indicator chart'!$D$1:$J$36,7,FALSE),1)=" "," ",VLOOKUP($B14,'Indicator chart'!$D$1:$J$36,7,FALSE))</f>
        <v>0.7264992053010427</v>
      </c>
      <c r="H14" s="50">
        <f t="shared" si="0"/>
        <v>1</v>
      </c>
      <c r="I14" s="38">
        <v>0.6788359880447388</v>
      </c>
      <c r="J14" s="38">
        <v>0.7444764971733093</v>
      </c>
      <c r="K14" s="38">
        <v>0.7661129832267761</v>
      </c>
      <c r="L14" s="38">
        <v>0.8031859993934631</v>
      </c>
      <c r="M14" s="38">
        <v>0.8471390008926392</v>
      </c>
      <c r="N14" s="80">
        <f>VLOOKUP('Hide - Control'!B$3,'All practice data'!A:CA,A14+29,FALSE)</f>
        <v>0.7685264597482673</v>
      </c>
      <c r="O14" s="80">
        <f>VLOOKUP('Hide - Control'!C$3,'All practice data'!A:CA,A14+29,FALSE)</f>
        <v>0.7559681673907895</v>
      </c>
      <c r="P14" s="38">
        <f>VLOOKUP('Hide - Control'!$B$4,'All practice data'!B:BC,A14+2,FALSE)</f>
        <v>66310</v>
      </c>
      <c r="Q14" s="38">
        <f>VLOOKUP('Hide - Control'!$B$4,'All practice data'!B:BJ,59,FALSE)</f>
        <v>86282</v>
      </c>
      <c r="R14" s="38">
        <f t="shared" si="17"/>
        <v>0.7657002049957622</v>
      </c>
      <c r="S14" s="38">
        <f t="shared" si="18"/>
        <v>0.7713288039442168</v>
      </c>
      <c r="T14" s="53">
        <f t="shared" si="16"/>
        <v>0.8471390008926392</v>
      </c>
      <c r="U14" s="51">
        <f t="shared" si="1"/>
        <v>0.6788359880447388</v>
      </c>
      <c r="V14" s="7"/>
      <c r="W14" s="27">
        <f t="shared" si="2"/>
        <v>0.6788359880447388</v>
      </c>
      <c r="X14" s="27">
        <f t="shared" si="3"/>
        <v>0.8533899784088135</v>
      </c>
      <c r="Y14" s="27">
        <f t="shared" si="4"/>
        <v>0.6788359880447388</v>
      </c>
      <c r="Z14" s="27">
        <f t="shared" si="5"/>
        <v>0.8533899784088135</v>
      </c>
      <c r="AA14" s="32">
        <f t="shared" si="6"/>
        <v>0</v>
      </c>
      <c r="AB14" s="33">
        <f t="shared" si="7"/>
        <v>0.3760470270067235</v>
      </c>
      <c r="AC14" s="33">
        <v>0.5</v>
      </c>
      <c r="AD14" s="33">
        <f t="shared" si="8"/>
        <v>0.7123871020614438</v>
      </c>
      <c r="AE14" s="33">
        <f t="shared" si="9"/>
        <v>0.9641888592570333</v>
      </c>
      <c r="AF14" s="33">
        <f t="shared" si="10"/>
        <v>-999</v>
      </c>
      <c r="AG14" s="33">
        <f t="shared" si="11"/>
        <v>-999</v>
      </c>
      <c r="AH14" s="33">
        <f t="shared" si="12"/>
        <v>0.1847394716557455</v>
      </c>
      <c r="AI14" s="34">
        <f t="shared" si="13"/>
        <v>0.4418815014493389</v>
      </c>
      <c r="AJ14" s="4">
        <v>10.234019270112368</v>
      </c>
      <c r="AK14" s="32">
        <f t="shared" si="14"/>
        <v>0.1847394716557455</v>
      </c>
      <c r="AL14" s="34">
        <f t="shared" si="15"/>
        <v>-999</v>
      </c>
      <c r="AY14" s="103" t="s">
        <v>53</v>
      </c>
      <c r="AZ14" s="103" t="s">
        <v>446</v>
      </c>
      <c r="BA14" s="103" t="s">
        <v>503</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546</v>
      </c>
      <c r="E15" s="38">
        <f>IF(LEFT(VLOOKUP($B15,'Indicator chart'!$D$1:$J$36,5,FALSE),1)=" "," ",VLOOKUP($B15,'Indicator chart'!$D$1:$J$36,5,FALSE))</f>
        <v>0.45614</v>
      </c>
      <c r="F15" s="38">
        <f>IF(LEFT(VLOOKUP($B15,'Indicator chart'!$D$1:$J$36,6,FALSE),1)=" "," ",VLOOKUP($B15,'Indicator chart'!$D$1:$J$36,6,FALSE))</f>
        <v>0.42810907819755445</v>
      </c>
      <c r="G15" s="38">
        <f>IF(LEFT(VLOOKUP($B15,'Indicator chart'!$D$1:$J$36,7,FALSE),1)=" "," ",VLOOKUP($B15,'Indicator chart'!$D$1:$J$36,7,FALSE))</f>
        <v>0.48445224546078647</v>
      </c>
      <c r="H15" s="50">
        <f t="shared" si="0"/>
        <v>2</v>
      </c>
      <c r="I15" s="38">
        <v>0.2840909957885742</v>
      </c>
      <c r="J15" s="38">
        <v>0.426098495721817</v>
      </c>
      <c r="K15" s="38">
        <v>0.4471539855003357</v>
      </c>
      <c r="L15" s="38">
        <v>0.48723700642585754</v>
      </c>
      <c r="M15" s="38">
        <v>0.5594350099563599</v>
      </c>
      <c r="N15" s="80">
        <f>VLOOKUP('Hide - Control'!B$3,'All practice data'!A:CA,A15+29,FALSE)</f>
        <v>0.4576050808891556</v>
      </c>
      <c r="O15" s="80">
        <f>VLOOKUP('Hide - Control'!C$3,'All practice data'!A:CA,A15+29,FALSE)</f>
        <v>0.5147293797466616</v>
      </c>
      <c r="P15" s="38">
        <f>VLOOKUP('Hide - Control'!$B$4,'All practice data'!B:BC,A15+2,FALSE)</f>
        <v>18301</v>
      </c>
      <c r="Q15" s="38">
        <f>VLOOKUP('Hide - Control'!$B$4,'All practice data'!B:BJ,60,FALSE)</f>
        <v>39993</v>
      </c>
      <c r="R15" s="38">
        <f t="shared" si="17"/>
        <v>0.4527266039519794</v>
      </c>
      <c r="S15" s="38">
        <f t="shared" si="18"/>
        <v>0.46249170168543374</v>
      </c>
      <c r="T15" s="53">
        <f t="shared" si="16"/>
        <v>0.5594350099563599</v>
      </c>
      <c r="U15" s="51">
        <f t="shared" si="1"/>
        <v>0.2840909957885742</v>
      </c>
      <c r="V15" s="7"/>
      <c r="W15" s="27">
        <f t="shared" si="2"/>
        <v>0.2840909957885742</v>
      </c>
      <c r="X15" s="27">
        <f t="shared" si="3"/>
        <v>0.6102169752120972</v>
      </c>
      <c r="Y15" s="27">
        <f t="shared" si="4"/>
        <v>0.2840909957885742</v>
      </c>
      <c r="Z15" s="27">
        <f t="shared" si="5"/>
        <v>0.6102169752120972</v>
      </c>
      <c r="AA15" s="32">
        <f t="shared" si="6"/>
        <v>0</v>
      </c>
      <c r="AB15" s="33">
        <f t="shared" si="7"/>
        <v>0.43543755754835156</v>
      </c>
      <c r="AC15" s="33">
        <v>0.5</v>
      </c>
      <c r="AD15" s="33">
        <f t="shared" si="8"/>
        <v>0.6229065559155228</v>
      </c>
      <c r="AE15" s="33">
        <f t="shared" si="9"/>
        <v>0.8442872740604654</v>
      </c>
      <c r="AF15" s="33">
        <f t="shared" si="10"/>
        <v>-999</v>
      </c>
      <c r="AG15" s="33">
        <f t="shared" si="11"/>
        <v>0.5275538137610148</v>
      </c>
      <c r="AH15" s="33">
        <f t="shared" si="12"/>
        <v>-999</v>
      </c>
      <c r="AI15" s="34">
        <f t="shared" si="13"/>
        <v>0.7072064125825719</v>
      </c>
      <c r="AJ15" s="4">
        <v>11.310014695494289</v>
      </c>
      <c r="AK15" s="32">
        <f t="shared" si="14"/>
        <v>-999</v>
      </c>
      <c r="AL15" s="34">
        <f t="shared" si="15"/>
        <v>-999</v>
      </c>
      <c r="AY15" s="103" t="s">
        <v>229</v>
      </c>
      <c r="AZ15" s="103" t="s">
        <v>230</v>
      </c>
      <c r="BA15" s="103" t="s">
        <v>322</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356</v>
      </c>
      <c r="E16" s="38">
        <f>IF(LEFT(VLOOKUP($B16,'Indicator chart'!$D$1:$J$36,5,FALSE),1)=" "," ",VLOOKUP($B16,'Indicator chart'!$D$1:$J$36,5,FALSE))</f>
        <v>0.543511</v>
      </c>
      <c r="F16" s="38">
        <f>IF(LEFT(VLOOKUP($B16,'Indicator chart'!$D$1:$J$36,6,FALSE),1)=" "," ",VLOOKUP($B16,'Indicator chart'!$D$1:$J$36,6,FALSE))</f>
        <v>0.5052217700398557</v>
      </c>
      <c r="G16" s="38">
        <f>IF(LEFT(VLOOKUP($B16,'Indicator chart'!$D$1:$J$36,7,FALSE),1)=" "," ",VLOOKUP($B16,'Indicator chart'!$D$1:$J$36,7,FALSE))</f>
        <v>0.5812937141068648</v>
      </c>
      <c r="H16" s="50">
        <f t="shared" si="0"/>
        <v>2</v>
      </c>
      <c r="I16" s="38">
        <v>0.33333298563957214</v>
      </c>
      <c r="J16" s="38">
        <v>0.5191469788551331</v>
      </c>
      <c r="K16" s="38">
        <v>0.5435109734535217</v>
      </c>
      <c r="L16" s="38">
        <v>0.5851989984512329</v>
      </c>
      <c r="M16" s="38">
        <v>0.6707320213317871</v>
      </c>
      <c r="N16" s="80">
        <f>VLOOKUP('Hide - Control'!B$3,'All practice data'!A:CA,A16+29,FALSE)</f>
        <v>0.5515060664261957</v>
      </c>
      <c r="O16" s="80">
        <f>VLOOKUP('Hide - Control'!C$3,'All practice data'!A:CA,A16+29,FALSE)</f>
        <v>0.5752927626212945</v>
      </c>
      <c r="P16" s="38">
        <f>VLOOKUP('Hide - Control'!$B$4,'All practice data'!B:BC,A16+2,FALSE)</f>
        <v>11773</v>
      </c>
      <c r="Q16" s="38">
        <f>VLOOKUP('Hide - Control'!$B$4,'All practice data'!B:BJ,61,FALSE)</f>
        <v>21347</v>
      </c>
      <c r="R16" s="38">
        <f t="shared" si="17"/>
        <v>0.5448256226747664</v>
      </c>
      <c r="S16" s="38">
        <f t="shared" si="18"/>
        <v>0.5581679754792286</v>
      </c>
      <c r="T16" s="53">
        <f aca="true" t="shared" si="19" ref="T16:T31">IF($C16=1,M16,I16)</f>
        <v>0.6707320213317871</v>
      </c>
      <c r="U16" s="51">
        <f aca="true" t="shared" si="20" ref="U16:U31">IF($C16=1,I16,M16)</f>
        <v>0.33333298563957214</v>
      </c>
      <c r="V16" s="7"/>
      <c r="W16" s="27">
        <f t="shared" si="2"/>
        <v>0.33333298563957214</v>
      </c>
      <c r="X16" s="27">
        <f t="shared" si="3"/>
        <v>0.7536889612674713</v>
      </c>
      <c r="Y16" s="27">
        <f t="shared" si="4"/>
        <v>0.33333298563957214</v>
      </c>
      <c r="Z16" s="27">
        <f t="shared" si="5"/>
        <v>0.7536889612674713</v>
      </c>
      <c r="AA16" s="32">
        <f t="shared" si="6"/>
        <v>0</v>
      </c>
      <c r="AB16" s="33">
        <f t="shared" si="7"/>
        <v>0.44203961401525127</v>
      </c>
      <c r="AC16" s="33">
        <v>0.5</v>
      </c>
      <c r="AD16" s="33">
        <f t="shared" si="8"/>
        <v>0.5991731470819237</v>
      </c>
      <c r="AE16" s="33">
        <f t="shared" si="9"/>
        <v>0.8026507418818806</v>
      </c>
      <c r="AF16" s="33">
        <f t="shared" si="10"/>
        <v>-999</v>
      </c>
      <c r="AG16" s="33">
        <f t="shared" si="11"/>
        <v>0.5000000631523751</v>
      </c>
      <c r="AH16" s="33">
        <f t="shared" si="12"/>
        <v>-999</v>
      </c>
      <c r="AI16" s="34">
        <f t="shared" si="13"/>
        <v>0.5756068451752095</v>
      </c>
      <c r="AJ16" s="4">
        <v>12.386010120876215</v>
      </c>
      <c r="AK16" s="32">
        <f t="shared" si="14"/>
        <v>-999</v>
      </c>
      <c r="AL16" s="34">
        <f t="shared" si="15"/>
        <v>-999</v>
      </c>
      <c r="AY16" s="103" t="s">
        <v>321</v>
      </c>
      <c r="AZ16" s="103" t="s">
        <v>341</v>
      </c>
      <c r="BA16" s="103" t="s">
        <v>503</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243</v>
      </c>
      <c r="E17" s="38">
        <f>IF(LEFT(VLOOKUP($B17,'Indicator chart'!$D$1:$J$36,5,FALSE),1)=" "," ",VLOOKUP($B17,'Indicator chart'!$D$1:$J$36,5,FALSE))</f>
        <v>1949.614890885751</v>
      </c>
      <c r="F17" s="38">
        <f>IF(LEFT(VLOOKUP($B17,'Indicator chart'!$D$1:$J$36,6,FALSE),1)=" "," ",VLOOKUP($B17,'Indicator chart'!$D$1:$J$36,6,FALSE))</f>
        <v>1712.1585005806762</v>
      </c>
      <c r="G17" s="38">
        <f>IF(LEFT(VLOOKUP($B17,'Indicator chart'!$D$1:$J$36,7,FALSE),1)=" "," ",VLOOKUP($B17,'Indicator chart'!$D$1:$J$36,7,FALSE))</f>
        <v>2210.790461086183</v>
      </c>
      <c r="H17" s="50">
        <f t="shared" si="0"/>
        <v>1</v>
      </c>
      <c r="I17" s="38">
        <v>552.5127563476562</v>
      </c>
      <c r="J17" s="38">
        <v>1842.7762451171875</v>
      </c>
      <c r="K17" s="38">
        <v>2329.053466796875</v>
      </c>
      <c r="L17" s="38">
        <v>2577.572021484375</v>
      </c>
      <c r="M17" s="38">
        <v>3497.819091796875</v>
      </c>
      <c r="N17" s="80">
        <f>VLOOKUP('Hide - Control'!B$3,'All practice data'!A:CA,A17+29,FALSE)</f>
        <v>2225.337504772651</v>
      </c>
      <c r="O17" s="80">
        <f>VLOOKUP('Hide - Control'!C$3,'All practice data'!A:CA,A17+29,FALSE)</f>
        <v>1812.1669120472948</v>
      </c>
      <c r="P17" s="38">
        <f>VLOOKUP('Hide - Control'!$B$4,'All practice data'!B:BC,A17+2,FALSE)</f>
        <v>7810</v>
      </c>
      <c r="Q17" s="38">
        <f>VLOOKUP('Hide - Control'!$B$4,'All practice data'!B:BC,3,FALSE)</f>
        <v>350958</v>
      </c>
      <c r="R17" s="38">
        <f>100000*(P17*(1-1/(9*P17)-1.96/(3*SQRT(P17)))^3)/Q17</f>
        <v>2176.2534317101768</v>
      </c>
      <c r="S17" s="38">
        <f>100000*((P17+1)*(1-1/(9*(P17+1))+1.96/(3*SQRT(P17+1)))^3)/Q17</f>
        <v>2275.249443852644</v>
      </c>
      <c r="T17" s="53">
        <f t="shared" si="19"/>
        <v>3497.819091796875</v>
      </c>
      <c r="U17" s="51">
        <f t="shared" si="20"/>
        <v>552.5127563476562</v>
      </c>
      <c r="V17" s="7"/>
      <c r="W17" s="27">
        <f t="shared" si="2"/>
        <v>552.5127563476562</v>
      </c>
      <c r="X17" s="27">
        <f t="shared" si="3"/>
        <v>4105.594177246094</v>
      </c>
      <c r="Y17" s="27">
        <f t="shared" si="4"/>
        <v>552.5127563476562</v>
      </c>
      <c r="Z17" s="27">
        <f t="shared" si="5"/>
        <v>4105.594177246094</v>
      </c>
      <c r="AA17" s="32">
        <f t="shared" si="6"/>
        <v>0</v>
      </c>
      <c r="AB17" s="33">
        <f t="shared" si="7"/>
        <v>0.3631392968313328</v>
      </c>
      <c r="AC17" s="33">
        <v>0.5</v>
      </c>
      <c r="AD17" s="33">
        <f t="shared" si="8"/>
        <v>0.5699445144222615</v>
      </c>
      <c r="AE17" s="33">
        <f t="shared" si="9"/>
        <v>0.8289442279947709</v>
      </c>
      <c r="AF17" s="33">
        <f t="shared" si="10"/>
        <v>-999</v>
      </c>
      <c r="AG17" s="33">
        <f t="shared" si="11"/>
        <v>-999</v>
      </c>
      <c r="AH17" s="33">
        <f t="shared" si="12"/>
        <v>0.3932085896823669</v>
      </c>
      <c r="AI17" s="34">
        <f t="shared" si="13"/>
        <v>0.3545244272452165</v>
      </c>
      <c r="AJ17" s="4">
        <v>13.462005546258133</v>
      </c>
      <c r="AK17" s="32">
        <f t="shared" si="14"/>
        <v>0.3932085896823669</v>
      </c>
      <c r="AL17" s="34">
        <f t="shared" si="15"/>
        <v>-999</v>
      </c>
      <c r="AY17" s="103" t="s">
        <v>103</v>
      </c>
      <c r="AZ17" s="103" t="s">
        <v>104</v>
      </c>
      <c r="BA17" s="103" t="s">
        <v>322</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243</v>
      </c>
      <c r="E18" s="80">
        <f>IF(LEFT(VLOOKUP($B18,'Indicator chart'!$D$1:$J$36,5,FALSE),1)=" "," ",VLOOKUP($B18,'Indicator chart'!$D$1:$J$36,5,FALSE))</f>
        <v>1.095225372</v>
      </c>
      <c r="F18" s="81">
        <f>IF(LEFT(VLOOKUP($B18,'Indicator chart'!$D$1:$J$36,6,FALSE),1)=" "," ",VLOOKUP($B18,'Indicator chart'!$D$1:$J$36,6,FALSE))</f>
        <v>0.96183815</v>
      </c>
      <c r="G18" s="38">
        <f>IF(LEFT(VLOOKUP($B18,'Indicator chart'!$D$1:$J$36,7,FALSE),1)=" "," ",VLOOKUP($B18,'Indicator chart'!$D$1:$J$36,7,FALSE))</f>
        <v>1.241938248</v>
      </c>
      <c r="H18" s="50">
        <f>IF(LEFT(F18,1)=" ",4,IF(AND(ABS(N18-E18)&gt;SQRT((E18-G18)^2+(N18-R18)^2),E18&lt;N18),1,IF(AND(ABS(N18-E18)&gt;SQRT((E18-F18)^2+(N18-S18)^2),E18&gt;N18),3,2)))</f>
        <v>2</v>
      </c>
      <c r="I18" s="38">
        <v>0.318853497505188</v>
      </c>
      <c r="J18" s="38"/>
      <c r="K18" s="38">
        <v>1</v>
      </c>
      <c r="L18" s="38"/>
      <c r="M18" s="38">
        <v>1.8216521739959717</v>
      </c>
      <c r="N18" s="80">
        <v>1</v>
      </c>
      <c r="O18" s="80">
        <f>VLOOKUP('Hide - Control'!C$3,'All practice data'!A:CA,A18+29,FALSE)</f>
        <v>1</v>
      </c>
      <c r="P18" s="38">
        <f>VLOOKUP('Hide - Control'!$B$4,'All practice data'!B:BC,A18+2,FALSE)</f>
        <v>7810</v>
      </c>
      <c r="Q18" s="38">
        <f>VLOOKUP('Hide - Control'!$B$4,'All practice data'!B:BC,14,FALSE)</f>
        <v>7810</v>
      </c>
      <c r="R18" s="81">
        <v>1</v>
      </c>
      <c r="S18" s="38">
        <v>1</v>
      </c>
      <c r="T18" s="53">
        <f t="shared" si="19"/>
        <v>1.8216521739959717</v>
      </c>
      <c r="U18" s="51">
        <f t="shared" si="20"/>
        <v>0.318853497505188</v>
      </c>
      <c r="V18" s="7"/>
      <c r="W18" s="27">
        <f>IF((K18-I18)&gt;(M18-K18),I18,(K18-(M18-K18)))</f>
        <v>0.17834782600402832</v>
      </c>
      <c r="X18" s="27">
        <f t="shared" si="3"/>
        <v>1.8216521739959717</v>
      </c>
      <c r="Y18" s="27">
        <f t="shared" si="4"/>
        <v>0.17834782600402832</v>
      </c>
      <c r="Z18" s="27">
        <f t="shared" si="5"/>
        <v>1.8216521739959717</v>
      </c>
      <c r="AA18" s="32" t="s">
        <v>322</v>
      </c>
      <c r="AB18" s="33" t="s">
        <v>322</v>
      </c>
      <c r="AC18" s="33">
        <v>0.5</v>
      </c>
      <c r="AD18" s="33" t="s">
        <v>322</v>
      </c>
      <c r="AE18" s="33" t="s">
        <v>322</v>
      </c>
      <c r="AF18" s="33">
        <f t="shared" si="10"/>
        <v>-999</v>
      </c>
      <c r="AG18" s="33">
        <f t="shared" si="11"/>
        <v>0.5579474959196462</v>
      </c>
      <c r="AH18" s="33">
        <f t="shared" si="12"/>
        <v>-999</v>
      </c>
      <c r="AI18" s="34">
        <v>0.5</v>
      </c>
      <c r="AJ18" s="4">
        <v>14.538000971640056</v>
      </c>
      <c r="AK18" s="32">
        <f t="shared" si="14"/>
        <v>-999</v>
      </c>
      <c r="AL18" s="34">
        <f t="shared" si="15"/>
        <v>-999</v>
      </c>
      <c r="AY18" s="103" t="s">
        <v>105</v>
      </c>
      <c r="AZ18" s="103" t="s">
        <v>106</v>
      </c>
      <c r="BA18" s="103" t="s">
        <v>322</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25</v>
      </c>
      <c r="E19" s="38">
        <f>IF(LEFT(VLOOKUP($B19,'Indicator chart'!$D$1:$J$36,5,FALSE),1)=" "," ",VLOOKUP($B19,'Indicator chart'!$D$1:$J$36,5,FALSE))</f>
        <v>0.102880658436214</v>
      </c>
      <c r="F19" s="38">
        <f>IF(LEFT(VLOOKUP($B19,'Indicator chart'!$D$1:$J$36,6,FALSE),1)=" "," ",VLOOKUP($B19,'Indicator chart'!$D$1:$J$36,6,FALSE))</f>
        <v>0.07066045010133103</v>
      </c>
      <c r="G19" s="38">
        <f>IF(LEFT(VLOOKUP($B19,'Indicator chart'!$D$1:$J$36,7,FALSE),1)=" "," ",VLOOKUP($B19,'Indicator chart'!$D$1:$J$36,7,FALSE))</f>
        <v>0.14746161684362477</v>
      </c>
      <c r="H19" s="50">
        <f t="shared" si="0"/>
        <v>2</v>
      </c>
      <c r="I19" s="38">
        <v>0.02070442959666252</v>
      </c>
      <c r="J19" s="38">
        <v>0.08146673440933228</v>
      </c>
      <c r="K19" s="38">
        <v>0.10000000149011612</v>
      </c>
      <c r="L19" s="38">
        <v>0.12465517222881317</v>
      </c>
      <c r="M19" s="38">
        <v>0.32499998807907104</v>
      </c>
      <c r="N19" s="80">
        <f>VLOOKUP('Hide - Control'!B$3,'All practice data'!A:CA,A19+29,FALSE)</f>
        <v>0.10230473751600512</v>
      </c>
      <c r="O19" s="80">
        <f>VLOOKUP('Hide - Control'!C$3,'All practice data'!A:CA,A19+29,FALSE)</f>
        <v>0.10919341638628717</v>
      </c>
      <c r="P19" s="38">
        <f>VLOOKUP('Hide - Control'!$B$4,'All practice data'!B:BC,A19+2,FALSE)</f>
        <v>799</v>
      </c>
      <c r="Q19" s="38">
        <f>VLOOKUP('Hide - Control'!$B$4,'All practice data'!B:BC,15,FALSE)</f>
        <v>7810</v>
      </c>
      <c r="R19" s="38">
        <f>+((2*P19+1.96^2-1.96*SQRT(1.96^2+4*P19*(1-P19/Q19)))/(2*(Q19+1.96^2)))</f>
        <v>0.09577792964658793</v>
      </c>
      <c r="S19" s="38">
        <f>+((2*P19+1.96^2+1.96*SQRT(1.96^2+4*P19*(1-P19/Q19)))/(2*(Q19+1.96^2)))</f>
        <v>0.10922259147992174</v>
      </c>
      <c r="T19" s="53">
        <f t="shared" si="19"/>
        <v>0.32499998807907104</v>
      </c>
      <c r="U19" s="51">
        <f t="shared" si="20"/>
        <v>0.02070442959666252</v>
      </c>
      <c r="V19" s="7"/>
      <c r="W19" s="27">
        <f t="shared" si="2"/>
        <v>-0.1249999850988388</v>
      </c>
      <c r="X19" s="27">
        <f t="shared" si="3"/>
        <v>0.32499998807907104</v>
      </c>
      <c r="Y19" s="27">
        <f t="shared" si="4"/>
        <v>-0.1249999850988388</v>
      </c>
      <c r="Z19" s="27">
        <f t="shared" si="5"/>
        <v>0.32499998807907104</v>
      </c>
      <c r="AA19" s="32">
        <f t="shared" si="6"/>
        <v>0.3237876075114705</v>
      </c>
      <c r="AB19" s="33">
        <f t="shared" si="7"/>
        <v>0.4588149595878829</v>
      </c>
      <c r="AC19" s="33">
        <v>0.5</v>
      </c>
      <c r="AD19" s="33">
        <f t="shared" si="8"/>
        <v>0.5547892715739108</v>
      </c>
      <c r="AE19" s="33">
        <f t="shared" si="9"/>
        <v>1</v>
      </c>
      <c r="AF19" s="33">
        <f t="shared" si="10"/>
        <v>-999</v>
      </c>
      <c r="AG19" s="33">
        <f t="shared" si="11"/>
        <v>0.5064014602617742</v>
      </c>
      <c r="AH19" s="33">
        <f t="shared" si="12"/>
        <v>-999</v>
      </c>
      <c r="AI19" s="34">
        <f t="shared" si="13"/>
        <v>0.5204298120980918</v>
      </c>
      <c r="AJ19" s="4">
        <v>15.61399639702198</v>
      </c>
      <c r="AK19" s="32">
        <f t="shared" si="14"/>
        <v>-999</v>
      </c>
      <c r="AL19" s="34">
        <f t="shared" si="15"/>
        <v>-999</v>
      </c>
      <c r="AY19" s="103" t="s">
        <v>270</v>
      </c>
      <c r="AZ19" s="103" t="s">
        <v>442</v>
      </c>
      <c r="BA19" s="103" t="s">
        <v>322</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49</v>
      </c>
      <c r="E20" s="38">
        <f>IF(LEFT(VLOOKUP($B20,'Indicator chart'!$D$1:$J$36,5,FALSE),1)=" "," ",VLOOKUP($B20,'Indicator chart'!$D$1:$J$36,5,FALSE))</f>
        <v>0.5102040816326531</v>
      </c>
      <c r="F20" s="38">
        <f>IF(LEFT(VLOOKUP($B20,'Indicator chart'!$D$1:$J$36,6,FALSE),1)=" "," ",VLOOKUP($B20,'Indicator chart'!$D$1:$J$36,6,FALSE))</f>
        <v>0.37467331533409215</v>
      </c>
      <c r="G20" s="38">
        <f>IF(LEFT(VLOOKUP($B20,'Indicator chart'!$D$1:$J$36,7,FALSE),1)=" "," ",VLOOKUP($B20,'Indicator chart'!$D$1:$J$36,7,FALSE))</f>
        <v>0.6442511684059914</v>
      </c>
      <c r="H20" s="50">
        <f t="shared" si="0"/>
        <v>2</v>
      </c>
      <c r="I20" s="38">
        <v>0.09238772839307785</v>
      </c>
      <c r="J20" s="38">
        <v>0.40231093764305115</v>
      </c>
      <c r="K20" s="38">
        <v>0.4761904776096344</v>
      </c>
      <c r="L20" s="38">
        <v>0.5250626802444458</v>
      </c>
      <c r="M20" s="38">
        <v>0.7027027010917664</v>
      </c>
      <c r="N20" s="80">
        <f>VLOOKUP('Hide - Control'!B$3,'All practice data'!A:CA,A20+29,FALSE)</f>
        <v>0.45761741122565863</v>
      </c>
      <c r="O20" s="80">
        <f>VLOOKUP('Hide - Control'!C$3,'All practice data'!A:CA,A20+29,FALSE)</f>
        <v>0.4534552930810221</v>
      </c>
      <c r="P20" s="38">
        <f>VLOOKUP('Hide - Control'!$B$4,'All practice data'!B:BC,A20+1,FALSE)</f>
        <v>799</v>
      </c>
      <c r="Q20" s="38">
        <f>VLOOKUP('Hide - Control'!$B$4,'All practice data'!B:BC,A20+2,FALSE)</f>
        <v>1746</v>
      </c>
      <c r="R20" s="38">
        <f>+((2*P20+1.96^2-1.96*SQRT(1.96^2+4*P20*(1-P20/Q20)))/(2*(Q20+1.96^2)))</f>
        <v>0.4343670481897825</v>
      </c>
      <c r="S20" s="38">
        <f>+((2*P20+1.96^2+1.96*SQRT(1.96^2+4*P20*(1-P20/Q20)))/(2*(Q20+1.96^2)))</f>
        <v>0.48105386762339736</v>
      </c>
      <c r="T20" s="53">
        <f t="shared" si="19"/>
        <v>0.7027027010917664</v>
      </c>
      <c r="U20" s="51">
        <f t="shared" si="20"/>
        <v>0.09238772839307785</v>
      </c>
      <c r="V20" s="7"/>
      <c r="W20" s="27">
        <f t="shared" si="2"/>
        <v>0.09238772839307785</v>
      </c>
      <c r="X20" s="27">
        <f t="shared" si="3"/>
        <v>0.859993226826191</v>
      </c>
      <c r="Y20" s="27">
        <f t="shared" si="4"/>
        <v>0.09238772839307785</v>
      </c>
      <c r="Z20" s="27">
        <f t="shared" si="5"/>
        <v>0.859993226826191</v>
      </c>
      <c r="AA20" s="32">
        <f t="shared" si="6"/>
        <v>0</v>
      </c>
      <c r="AB20" s="33">
        <f t="shared" si="7"/>
        <v>0.4037532428866247</v>
      </c>
      <c r="AC20" s="33">
        <v>0.5</v>
      </c>
      <c r="AD20" s="33">
        <f t="shared" si="8"/>
        <v>0.5636683853028314</v>
      </c>
      <c r="AE20" s="33">
        <f t="shared" si="9"/>
        <v>0.7950893707047483</v>
      </c>
      <c r="AF20" s="33">
        <f t="shared" si="10"/>
        <v>-999</v>
      </c>
      <c r="AG20" s="33">
        <f t="shared" si="11"/>
        <v>0.5443113084682816</v>
      </c>
      <c r="AH20" s="33">
        <f t="shared" si="12"/>
        <v>-999</v>
      </c>
      <c r="AI20" s="34">
        <f t="shared" si="13"/>
        <v>0.4703816809871466</v>
      </c>
      <c r="AJ20" s="4">
        <v>16.689991822403904</v>
      </c>
      <c r="AK20" s="32">
        <f t="shared" si="14"/>
        <v>-999</v>
      </c>
      <c r="AL20" s="34">
        <f t="shared" si="15"/>
        <v>-999</v>
      </c>
      <c r="AY20" s="103" t="s">
        <v>211</v>
      </c>
      <c r="AZ20" s="103" t="s">
        <v>423</v>
      </c>
      <c r="BA20" s="103" t="s">
        <v>322</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78</v>
      </c>
      <c r="E21" s="38">
        <f>IF(LEFT(VLOOKUP($B21,'Indicator chart'!$D$1:$J$36,5,FALSE),1)=" "," ",VLOOKUP($B21,'Indicator chart'!$D$1:$J$36,5,FALSE))</f>
        <v>625.8023106546855</v>
      </c>
      <c r="F21" s="38">
        <f>IF(LEFT(VLOOKUP($B21,'Indicator chart'!$D$1:$J$36,6,FALSE),1)=" "," ",VLOOKUP($B21,'Indicator chart'!$D$1:$J$36,6,FALSE))</f>
        <v>494.6510351047159</v>
      </c>
      <c r="G21" s="38">
        <f>IF(LEFT(VLOOKUP($B21,'Indicator chart'!$D$1:$J$36,7,FALSE),1)=" "," ",VLOOKUP($B21,'Indicator chart'!$D$1:$J$36,7,FALSE))</f>
        <v>781.0424805888033</v>
      </c>
      <c r="H21" s="50">
        <f t="shared" si="0"/>
        <v>3</v>
      </c>
      <c r="I21" s="38">
        <v>225.80955505371094</v>
      </c>
      <c r="J21" s="38">
        <v>379.0456848144531</v>
      </c>
      <c r="K21" s="38">
        <v>469.04315185546875</v>
      </c>
      <c r="L21" s="38">
        <v>583.060546875</v>
      </c>
      <c r="M21" s="38">
        <v>816.1817016601562</v>
      </c>
      <c r="N21" s="80">
        <f>VLOOKUP('Hide - Control'!B$3,'All practice data'!A:CA,A21+29,FALSE)</f>
        <v>472.99107015654295</v>
      </c>
      <c r="O21" s="80">
        <f>VLOOKUP('Hide - Control'!C$3,'All practice data'!A:CA,A21+29,FALSE)</f>
        <v>377.7293140102421</v>
      </c>
      <c r="P21" s="38">
        <f>VLOOKUP('Hide - Control'!$B$4,'All practice data'!B:BC,A21+2,FALSE)</f>
        <v>1660</v>
      </c>
      <c r="Q21" s="38">
        <f>VLOOKUP('Hide - Control'!$B$4,'All practice data'!B:BC,3,FALSE)</f>
        <v>350958</v>
      </c>
      <c r="R21" s="38">
        <f aca="true" t="shared" si="21" ref="R21:R27">100000*(P21*(1-1/(9*P21)-1.96/(3*SQRT(P21)))^3)/Q21</f>
        <v>450.5081835001618</v>
      </c>
      <c r="S21" s="38">
        <f aca="true" t="shared" si="22" ref="S21:S27">100000*((P21+1)*(1-1/(9*(P21+1))+1.96/(3*SQRT(P21+1)))^3)/Q21</f>
        <v>496.305487630498</v>
      </c>
      <c r="T21" s="53">
        <f t="shared" si="19"/>
        <v>816.1817016601562</v>
      </c>
      <c r="U21" s="51">
        <f t="shared" si="20"/>
        <v>225.80955505371094</v>
      </c>
      <c r="V21" s="7"/>
      <c r="W21" s="27">
        <f t="shared" si="2"/>
        <v>121.90460205078125</v>
      </c>
      <c r="X21" s="27">
        <f t="shared" si="3"/>
        <v>816.1817016601562</v>
      </c>
      <c r="Y21" s="27">
        <f t="shared" si="4"/>
        <v>121.90460205078125</v>
      </c>
      <c r="Z21" s="27">
        <f t="shared" si="5"/>
        <v>816.1817016601562</v>
      </c>
      <c r="AA21" s="32">
        <f t="shared" si="6"/>
        <v>0.14965919668298192</v>
      </c>
      <c r="AB21" s="33">
        <f t="shared" si="7"/>
        <v>0.3703724102499544</v>
      </c>
      <c r="AC21" s="33">
        <v>0.5</v>
      </c>
      <c r="AD21" s="33">
        <f t="shared" si="8"/>
        <v>0.6642246231132807</v>
      </c>
      <c r="AE21" s="33">
        <f t="shared" si="9"/>
        <v>1</v>
      </c>
      <c r="AF21" s="33">
        <f t="shared" si="10"/>
        <v>-999</v>
      </c>
      <c r="AG21" s="33">
        <f t="shared" si="11"/>
        <v>-999</v>
      </c>
      <c r="AH21" s="33">
        <f t="shared" si="12"/>
        <v>0.725787598190139</v>
      </c>
      <c r="AI21" s="34">
        <f t="shared" si="13"/>
        <v>0.3684763793928922</v>
      </c>
      <c r="AJ21" s="4">
        <v>17.765987247785823</v>
      </c>
      <c r="AK21" s="32">
        <f t="shared" si="14"/>
        <v>-999</v>
      </c>
      <c r="AL21" s="34">
        <f t="shared" si="15"/>
        <v>0.725787598190139</v>
      </c>
      <c r="AY21" s="103" t="s">
        <v>123</v>
      </c>
      <c r="AZ21" s="103" t="s">
        <v>397</v>
      </c>
      <c r="BA21" s="103" t="s">
        <v>322</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39</v>
      </c>
      <c r="E22" s="38">
        <f>IF(LEFT(VLOOKUP($B22,'Indicator chart'!$D$1:$J$36,5,FALSE),1)=" "," ",VLOOKUP($B22,'Indicator chart'!$D$1:$J$36,5,FALSE))</f>
        <v>312.90115532734274</v>
      </c>
      <c r="F22" s="38">
        <f>IF(LEFT(VLOOKUP($B22,'Indicator chart'!$D$1:$J$36,6,FALSE),1)=" "," ",VLOOKUP($B22,'Indicator chart'!$D$1:$J$36,6,FALSE))</f>
        <v>222.4750849668295</v>
      </c>
      <c r="G22" s="38">
        <f>IF(LEFT(VLOOKUP($B22,'Indicator chart'!$D$1:$J$36,7,FALSE),1)=" "," ",VLOOKUP($B22,'Indicator chart'!$D$1:$J$36,7,FALSE))</f>
        <v>427.76009480366014</v>
      </c>
      <c r="H22" s="50">
        <f t="shared" si="0"/>
        <v>2</v>
      </c>
      <c r="I22" s="38">
        <v>18.07059669494629</v>
      </c>
      <c r="J22" s="38">
        <v>289.487060546875</v>
      </c>
      <c r="K22" s="38">
        <v>375.7380676269531</v>
      </c>
      <c r="L22" s="38">
        <v>437.5432434082031</v>
      </c>
      <c r="M22" s="38">
        <v>900.5763549804688</v>
      </c>
      <c r="N22" s="80">
        <f>VLOOKUP('Hide - Control'!B$3,'All practice data'!A:CA,A22+29,FALSE)</f>
        <v>372.4092341533745</v>
      </c>
      <c r="O22" s="80">
        <f>VLOOKUP('Hide - Control'!C$3,'All practice data'!A:CA,A22+29,FALSE)</f>
        <v>282.45290788403287</v>
      </c>
      <c r="P22" s="38">
        <f>VLOOKUP('Hide - Control'!$B$4,'All practice data'!B:BC,A22+2,FALSE)</f>
        <v>1307</v>
      </c>
      <c r="Q22" s="38">
        <f>VLOOKUP('Hide - Control'!$B$4,'All practice data'!B:BC,3,FALSE)</f>
        <v>350958</v>
      </c>
      <c r="R22" s="38">
        <f t="shared" si="21"/>
        <v>352.490224245453</v>
      </c>
      <c r="S22" s="38">
        <f t="shared" si="22"/>
        <v>393.1606350915768</v>
      </c>
      <c r="T22" s="53">
        <f t="shared" si="19"/>
        <v>900.5763549804688</v>
      </c>
      <c r="U22" s="51">
        <f t="shared" si="20"/>
        <v>18.07059669494629</v>
      </c>
      <c r="V22" s="7"/>
      <c r="W22" s="27">
        <f t="shared" si="2"/>
        <v>-149.1002197265625</v>
      </c>
      <c r="X22" s="27">
        <f t="shared" si="3"/>
        <v>900.5763549804688</v>
      </c>
      <c r="Y22" s="27">
        <f t="shared" si="4"/>
        <v>-149.1002197265625</v>
      </c>
      <c r="Z22" s="27">
        <f t="shared" si="5"/>
        <v>900.5763549804688</v>
      </c>
      <c r="AA22" s="32">
        <f t="shared" si="6"/>
        <v>0.15925935707212177</v>
      </c>
      <c r="AB22" s="33">
        <f t="shared" si="7"/>
        <v>0.4178308736630127</v>
      </c>
      <c r="AC22" s="33">
        <v>0.5</v>
      </c>
      <c r="AD22" s="33">
        <f t="shared" si="8"/>
        <v>0.5588802086952356</v>
      </c>
      <c r="AE22" s="33">
        <f t="shared" si="9"/>
        <v>1</v>
      </c>
      <c r="AF22" s="33">
        <f t="shared" si="10"/>
        <v>-999</v>
      </c>
      <c r="AG22" s="33">
        <f t="shared" si="11"/>
        <v>0.4401368823371633</v>
      </c>
      <c r="AH22" s="33">
        <f t="shared" si="12"/>
        <v>-999</v>
      </c>
      <c r="AI22" s="34">
        <f t="shared" si="13"/>
        <v>0.4111296165021531</v>
      </c>
      <c r="AJ22" s="4">
        <v>18.841982673167745</v>
      </c>
      <c r="AK22" s="32">
        <f t="shared" si="14"/>
        <v>-999</v>
      </c>
      <c r="AL22" s="34">
        <f t="shared" si="15"/>
        <v>-999</v>
      </c>
      <c r="AY22" s="103" t="s">
        <v>149</v>
      </c>
      <c r="AZ22" s="103" t="s">
        <v>407</v>
      </c>
      <c r="BA22" s="103" t="s">
        <v>322</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13</v>
      </c>
      <c r="E23" s="38">
        <f>IF(LEFT(VLOOKUP($B23,'Indicator chart'!$D$1:$J$36,5,FALSE),1)=" "," ",VLOOKUP($B23,'Indicator chart'!$D$1:$J$36,5,FALSE))</f>
        <v>104.30038510911425</v>
      </c>
      <c r="F23" s="38">
        <f>IF(LEFT(VLOOKUP($B23,'Indicator chart'!$D$1:$J$36,6,FALSE),1)=" "," ",VLOOKUP($B23,'Indicator chart'!$D$1:$J$36,6,FALSE))</f>
        <v>55.48103091515186</v>
      </c>
      <c r="G23" s="38">
        <f>IF(LEFT(VLOOKUP($B23,'Indicator chart'!$D$1:$J$36,7,FALSE),1)=" "," ",VLOOKUP($B23,'Indicator chart'!$D$1:$J$36,7,FALSE))</f>
        <v>178.36898613007364</v>
      </c>
      <c r="H23" s="50">
        <f t="shared" si="0"/>
        <v>2</v>
      </c>
      <c r="I23" s="38">
        <v>3.248678207397461</v>
      </c>
      <c r="J23" s="38">
        <v>81.16061401367188</v>
      </c>
      <c r="K23" s="38">
        <v>103.9681167602539</v>
      </c>
      <c r="L23" s="38">
        <v>146.20541381835938</v>
      </c>
      <c r="M23" s="38">
        <v>212.91696166992188</v>
      </c>
      <c r="N23" s="80">
        <f>VLOOKUP('Hide - Control'!B$3,'All practice data'!A:CA,A23+29,FALSE)</f>
        <v>112.83401432650061</v>
      </c>
      <c r="O23" s="80">
        <f>VLOOKUP('Hide - Control'!C$3,'All practice data'!A:CA,A23+29,FALSE)</f>
        <v>70.46674929228394</v>
      </c>
      <c r="P23" s="38">
        <f>VLOOKUP('Hide - Control'!$B$4,'All practice data'!B:BC,A23+2,FALSE)</f>
        <v>396</v>
      </c>
      <c r="Q23" s="38">
        <f>VLOOKUP('Hide - Control'!$B$4,'All practice data'!B:BC,3,FALSE)</f>
        <v>350958</v>
      </c>
      <c r="R23" s="38">
        <f t="shared" si="21"/>
        <v>101.99263082108004</v>
      </c>
      <c r="S23" s="38">
        <f t="shared" si="22"/>
        <v>124.51398673072273</v>
      </c>
      <c r="T23" s="53">
        <f t="shared" si="19"/>
        <v>212.91696166992188</v>
      </c>
      <c r="U23" s="51">
        <f t="shared" si="20"/>
        <v>3.248678207397461</v>
      </c>
      <c r="V23" s="7"/>
      <c r="W23" s="27">
        <f t="shared" si="2"/>
        <v>-4.9807281494140625</v>
      </c>
      <c r="X23" s="27">
        <f t="shared" si="3"/>
        <v>212.91696166992188</v>
      </c>
      <c r="Y23" s="27">
        <f t="shared" si="4"/>
        <v>-4.9807281494140625</v>
      </c>
      <c r="Z23" s="27">
        <f t="shared" si="5"/>
        <v>212.91696166992188</v>
      </c>
      <c r="AA23" s="32">
        <f t="shared" si="6"/>
        <v>0.03776729511742284</v>
      </c>
      <c r="AB23" s="33">
        <f t="shared" si="7"/>
        <v>0.3953293044754524</v>
      </c>
      <c r="AC23" s="33">
        <v>0.5</v>
      </c>
      <c r="AD23" s="33">
        <f t="shared" si="8"/>
        <v>0.6938400406774639</v>
      </c>
      <c r="AE23" s="33">
        <f t="shared" si="9"/>
        <v>1</v>
      </c>
      <c r="AF23" s="33">
        <f t="shared" si="10"/>
        <v>-999</v>
      </c>
      <c r="AG23" s="33">
        <f t="shared" si="11"/>
        <v>0.501524882384645</v>
      </c>
      <c r="AH23" s="33">
        <f t="shared" si="12"/>
        <v>-999</v>
      </c>
      <c r="AI23" s="34">
        <f t="shared" si="13"/>
        <v>0.3462518464709436</v>
      </c>
      <c r="AJ23" s="4">
        <v>19.917978098549675</v>
      </c>
      <c r="AK23" s="32">
        <f t="shared" si="14"/>
        <v>-999</v>
      </c>
      <c r="AL23" s="34">
        <f t="shared" si="15"/>
        <v>-999</v>
      </c>
      <c r="AY23" s="103" t="s">
        <v>264</v>
      </c>
      <c r="AZ23" s="103" t="s">
        <v>265</v>
      </c>
      <c r="BA23" s="103" t="s">
        <v>322</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30</v>
      </c>
      <c r="E24" s="38">
        <f>IF(LEFT(VLOOKUP($B24,'Indicator chart'!$D$1:$J$36,5,FALSE),1)=" "," ",VLOOKUP($B24,'Indicator chart'!$D$1:$J$36,5,FALSE))</f>
        <v>240.69319640564828</v>
      </c>
      <c r="F24" s="38">
        <f>IF(LEFT(VLOOKUP($B24,'Indicator chart'!$D$1:$J$36,6,FALSE),1)=" "," ",VLOOKUP($B24,'Indicator chart'!$D$1:$J$36,6,FALSE))</f>
        <v>162.36190120181982</v>
      </c>
      <c r="G24" s="38">
        <f>IF(LEFT(VLOOKUP($B24,'Indicator chart'!$D$1:$J$36,7,FALSE),1)=" "," ",VLOOKUP($B24,'Indicator chart'!$D$1:$J$36,7,FALSE))</f>
        <v>343.61858700920055</v>
      </c>
      <c r="H24" s="50">
        <f t="shared" si="0"/>
        <v>2</v>
      </c>
      <c r="I24" s="38">
        <v>27.3076171875</v>
      </c>
      <c r="J24" s="38">
        <v>173.2002410888672</v>
      </c>
      <c r="K24" s="38">
        <v>312.1997985839844</v>
      </c>
      <c r="L24" s="38">
        <v>388.80615234375</v>
      </c>
      <c r="M24" s="38">
        <v>897.97314453125</v>
      </c>
      <c r="N24" s="80">
        <f>VLOOKUP('Hide - Control'!B$3,'All practice data'!A:CA,A24+29,FALSE)</f>
        <v>333.37322414647906</v>
      </c>
      <c r="O24" s="80">
        <f>VLOOKUP('Hide - Control'!C$3,'All practice data'!A:CA,A24+29,FALSE)</f>
        <v>323.23046266988894</v>
      </c>
      <c r="P24" s="38">
        <f>VLOOKUP('Hide - Control'!$B$4,'All practice data'!B:BC,A24+2,FALSE)</f>
        <v>1170</v>
      </c>
      <c r="Q24" s="38">
        <f>VLOOKUP('Hide - Control'!$B$4,'All practice data'!B:BC,3,FALSE)</f>
        <v>350958</v>
      </c>
      <c r="R24" s="38">
        <f t="shared" si="21"/>
        <v>314.54173295388915</v>
      </c>
      <c r="S24" s="38">
        <f t="shared" si="22"/>
        <v>353.03754051130556</v>
      </c>
      <c r="T24" s="53">
        <f t="shared" si="19"/>
        <v>897.97314453125</v>
      </c>
      <c r="U24" s="51">
        <f t="shared" si="20"/>
        <v>27.3076171875</v>
      </c>
      <c r="V24" s="7"/>
      <c r="W24" s="27">
        <f t="shared" si="2"/>
        <v>-273.57354736328125</v>
      </c>
      <c r="X24" s="27">
        <f t="shared" si="3"/>
        <v>897.97314453125</v>
      </c>
      <c r="Y24" s="27">
        <f t="shared" si="4"/>
        <v>-273.57354736328125</v>
      </c>
      <c r="Z24" s="27">
        <f t="shared" si="5"/>
        <v>897.97314453125</v>
      </c>
      <c r="AA24" s="32">
        <f t="shared" si="6"/>
        <v>0.25682387789787564</v>
      </c>
      <c r="AB24" s="33">
        <f t="shared" si="7"/>
        <v>0.3813538047977087</v>
      </c>
      <c r="AC24" s="33">
        <v>0.5</v>
      </c>
      <c r="AD24" s="33">
        <f t="shared" si="8"/>
        <v>0.5653890743661988</v>
      </c>
      <c r="AE24" s="33">
        <f t="shared" si="9"/>
        <v>1</v>
      </c>
      <c r="AF24" s="33">
        <f t="shared" si="10"/>
        <v>-999</v>
      </c>
      <c r="AG24" s="33">
        <f t="shared" si="11"/>
        <v>0.4389639331722226</v>
      </c>
      <c r="AH24" s="33">
        <f t="shared" si="12"/>
        <v>-999</v>
      </c>
      <c r="AI24" s="34">
        <f t="shared" si="13"/>
        <v>0.5094154711563964</v>
      </c>
      <c r="AJ24" s="4">
        <v>20.99397352393159</v>
      </c>
      <c r="AK24" s="32">
        <f t="shared" si="14"/>
        <v>-999</v>
      </c>
      <c r="AL24" s="34">
        <f t="shared" si="15"/>
        <v>-999</v>
      </c>
      <c r="AY24" s="103" t="s">
        <v>65</v>
      </c>
      <c r="AZ24" s="103" t="s">
        <v>66</v>
      </c>
      <c r="BA24" s="103" t="s">
        <v>503</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73</v>
      </c>
      <c r="E25" s="38">
        <f>IF(LEFT(VLOOKUP($B25,'Indicator chart'!$D$1:$J$36,5,FALSE),1)=" "," ",VLOOKUP($B25,'Indicator chart'!$D$1:$J$36,5,FALSE))</f>
        <v>585.6867779204108</v>
      </c>
      <c r="F25" s="38">
        <f>IF(LEFT(VLOOKUP($B25,'Indicator chart'!$D$1:$J$36,6,FALSE),1)=" "," ",VLOOKUP($B25,'Indicator chart'!$D$1:$J$36,6,FALSE))</f>
        <v>459.0645888866584</v>
      </c>
      <c r="G25" s="38">
        <f>IF(LEFT(VLOOKUP($B25,'Indicator chart'!$D$1:$J$36,7,FALSE),1)=" "," ",VLOOKUP($B25,'Indicator chart'!$D$1:$J$36,7,FALSE))</f>
        <v>736.4261788760783</v>
      </c>
      <c r="H25" s="50">
        <f t="shared" si="0"/>
        <v>2</v>
      </c>
      <c r="I25" s="38">
        <v>230.614013671875</v>
      </c>
      <c r="J25" s="38">
        <v>621.2482299804688</v>
      </c>
      <c r="K25" s="38">
        <v>659.9088134765625</v>
      </c>
      <c r="L25" s="38">
        <v>783.0032348632812</v>
      </c>
      <c r="M25" s="38">
        <v>1164.7454833984375</v>
      </c>
      <c r="N25" s="80">
        <f>VLOOKUP('Hide - Control'!B$3,'All practice data'!A:CA,A25+29,FALSE)</f>
        <v>669.3108577094695</v>
      </c>
      <c r="O25" s="80">
        <f>VLOOKUP('Hide - Control'!C$3,'All practice data'!A:CA,A25+29,FALSE)</f>
        <v>562.6134400960308</v>
      </c>
      <c r="P25" s="38">
        <f>VLOOKUP('Hide - Control'!$B$4,'All practice data'!B:BC,A25+2,FALSE)</f>
        <v>2349</v>
      </c>
      <c r="Q25" s="38">
        <f>VLOOKUP('Hide - Control'!$B$4,'All practice data'!B:BC,3,FALSE)</f>
        <v>350958</v>
      </c>
      <c r="R25" s="38">
        <f t="shared" si="21"/>
        <v>642.5145118830185</v>
      </c>
      <c r="S25" s="38">
        <f t="shared" si="22"/>
        <v>696.9376530785945</v>
      </c>
      <c r="T25" s="53">
        <f t="shared" si="19"/>
        <v>1164.7454833984375</v>
      </c>
      <c r="U25" s="51">
        <f t="shared" si="20"/>
        <v>230.614013671875</v>
      </c>
      <c r="V25" s="7"/>
      <c r="W25" s="27">
        <f t="shared" si="2"/>
        <v>155.0721435546875</v>
      </c>
      <c r="X25" s="27">
        <f t="shared" si="3"/>
        <v>1164.7454833984375</v>
      </c>
      <c r="Y25" s="27">
        <f t="shared" si="4"/>
        <v>155.0721435546875</v>
      </c>
      <c r="Z25" s="27">
        <f t="shared" si="5"/>
        <v>1164.7454833984375</v>
      </c>
      <c r="AA25" s="32">
        <f t="shared" si="6"/>
        <v>0.07481812892957819</v>
      </c>
      <c r="AB25" s="33">
        <f t="shared" si="7"/>
        <v>0.46170981051943333</v>
      </c>
      <c r="AC25" s="33">
        <v>0.5</v>
      </c>
      <c r="AD25" s="33">
        <f t="shared" si="8"/>
        <v>0.6219150952383946</v>
      </c>
      <c r="AE25" s="33">
        <f t="shared" si="9"/>
        <v>1</v>
      </c>
      <c r="AF25" s="33">
        <f t="shared" si="10"/>
        <v>-999</v>
      </c>
      <c r="AG25" s="33">
        <f t="shared" si="11"/>
        <v>0.42648906074152876</v>
      </c>
      <c r="AH25" s="33">
        <f t="shared" si="12"/>
        <v>-999</v>
      </c>
      <c r="AI25" s="34">
        <f t="shared" si="13"/>
        <v>0.40363678078735005</v>
      </c>
      <c r="AJ25" s="4">
        <v>22.06996894931352</v>
      </c>
      <c r="AK25" s="32">
        <f t="shared" si="14"/>
        <v>-999</v>
      </c>
      <c r="AL25" s="34">
        <f t="shared" si="15"/>
        <v>-999</v>
      </c>
      <c r="AY25" s="103" t="s">
        <v>257</v>
      </c>
      <c r="AZ25" s="103" t="s">
        <v>258</v>
      </c>
      <c r="BA25" s="103" t="s">
        <v>503</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53</v>
      </c>
      <c r="E26" s="38">
        <f>IF(LEFT(VLOOKUP($B26,'Indicator chart'!$D$1:$J$36,5,FALSE),1)=" "," ",VLOOKUP($B26,'Indicator chart'!$D$1:$J$36,5,FALSE))</f>
        <v>425.2246469833119</v>
      </c>
      <c r="F26" s="38">
        <f>IF(LEFT(VLOOKUP($B26,'Indicator chart'!$D$1:$J$36,6,FALSE),1)=" "," ",VLOOKUP($B26,'Indicator chart'!$D$1:$J$36,6,FALSE))</f>
        <v>318.49853862112167</v>
      </c>
      <c r="G26" s="38">
        <f>IF(LEFT(VLOOKUP($B26,'Indicator chart'!$D$1:$J$36,7,FALSE),1)=" "," ",VLOOKUP($B26,'Indicator chart'!$D$1:$J$36,7,FALSE))</f>
        <v>556.2178213528141</v>
      </c>
      <c r="H26" s="50">
        <f t="shared" si="0"/>
        <v>2</v>
      </c>
      <c r="I26" s="38">
        <v>148.93821716308594</v>
      </c>
      <c r="J26" s="38">
        <v>345.0377197265625</v>
      </c>
      <c r="K26" s="38">
        <v>443.8234558105469</v>
      </c>
      <c r="L26" s="38">
        <v>548.6318969726562</v>
      </c>
      <c r="M26" s="38">
        <v>791.281005859375</v>
      </c>
      <c r="N26" s="80">
        <f>VLOOKUP('Hide - Control'!B$3,'All practice data'!A:CA,A26+29,FALSE)</f>
        <v>459.59915431476134</v>
      </c>
      <c r="O26" s="80">
        <f>VLOOKUP('Hide - Control'!C$3,'All practice data'!A:CA,A26+29,FALSE)</f>
        <v>405.57105879375996</v>
      </c>
      <c r="P26" s="38">
        <f>VLOOKUP('Hide - Control'!$B$4,'All practice data'!B:BC,A26+2,FALSE)</f>
        <v>1613</v>
      </c>
      <c r="Q26" s="38">
        <f>VLOOKUP('Hide - Control'!$B$4,'All practice data'!B:BC,3,FALSE)</f>
        <v>350958</v>
      </c>
      <c r="R26" s="38">
        <f t="shared" si="21"/>
        <v>437.44071370245666</v>
      </c>
      <c r="S26" s="38">
        <f t="shared" si="22"/>
        <v>482.58922379517253</v>
      </c>
      <c r="T26" s="53">
        <f t="shared" si="19"/>
        <v>791.281005859375</v>
      </c>
      <c r="U26" s="51">
        <f t="shared" si="20"/>
        <v>148.93821716308594</v>
      </c>
      <c r="V26" s="7"/>
      <c r="W26" s="27">
        <f t="shared" si="2"/>
        <v>96.36590576171875</v>
      </c>
      <c r="X26" s="27">
        <f t="shared" si="3"/>
        <v>791.281005859375</v>
      </c>
      <c r="Y26" s="27">
        <f t="shared" si="4"/>
        <v>96.36590576171875</v>
      </c>
      <c r="Z26" s="27">
        <f t="shared" si="5"/>
        <v>791.281005859375</v>
      </c>
      <c r="AA26" s="32">
        <f t="shared" si="6"/>
        <v>0.07565285513867696</v>
      </c>
      <c r="AB26" s="33">
        <f t="shared" si="7"/>
        <v>0.35784488483542515</v>
      </c>
      <c r="AC26" s="33">
        <v>0.5</v>
      </c>
      <c r="AD26" s="33">
        <f t="shared" si="8"/>
        <v>0.6508219365896362</v>
      </c>
      <c r="AE26" s="33">
        <f t="shared" si="9"/>
        <v>1</v>
      </c>
      <c r="AF26" s="33">
        <f t="shared" si="10"/>
        <v>-999</v>
      </c>
      <c r="AG26" s="33">
        <f t="shared" si="11"/>
        <v>0.47323585453155176</v>
      </c>
      <c r="AH26" s="33">
        <f t="shared" si="12"/>
        <v>-999</v>
      </c>
      <c r="AI26" s="34">
        <f t="shared" si="13"/>
        <v>0.44495385549772726</v>
      </c>
      <c r="AJ26" s="4">
        <v>23.145964374695435</v>
      </c>
      <c r="AK26" s="32">
        <f t="shared" si="14"/>
        <v>-999</v>
      </c>
      <c r="AL26" s="34">
        <f t="shared" si="15"/>
        <v>-999</v>
      </c>
      <c r="AY26" s="103" t="s">
        <v>120</v>
      </c>
      <c r="AZ26" s="103" t="s">
        <v>396</v>
      </c>
      <c r="BA26" s="103" t="s">
        <v>322</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99</v>
      </c>
      <c r="E27" s="38">
        <f>IF(LEFT(VLOOKUP($B27,'Indicator chart'!$D$1:$J$36,5,FALSE),1)=" "," ",VLOOKUP($B27,'Indicator chart'!$D$1:$J$36,5,FALSE))</f>
        <v>794.2875481386393</v>
      </c>
      <c r="F27" s="38">
        <f>IF(LEFT(VLOOKUP($B27,'Indicator chart'!$D$1:$J$36,6,FALSE),1)=" "," ",VLOOKUP($B27,'Indicator chart'!$D$1:$J$36,6,FALSE))</f>
        <v>645.5400013806578</v>
      </c>
      <c r="G27" s="38">
        <f>IF(LEFT(VLOOKUP($B27,'Indicator chart'!$D$1:$J$36,7,FALSE),1)=" "," ",VLOOKUP($B27,'Indicator chart'!$D$1:$J$36,7,FALSE))</f>
        <v>967.0290695661665</v>
      </c>
      <c r="H27" s="50">
        <f t="shared" si="0"/>
        <v>2</v>
      </c>
      <c r="I27" s="38">
        <v>417.9878845214844</v>
      </c>
      <c r="J27" s="38">
        <v>830.2207641601562</v>
      </c>
      <c r="K27" s="38">
        <v>998.4769287109375</v>
      </c>
      <c r="L27" s="38">
        <v>1102.5919189453125</v>
      </c>
      <c r="M27" s="38">
        <v>1475.0482177734375</v>
      </c>
      <c r="N27" s="80">
        <f>VLOOKUP('Hide - Control'!B$3,'All practice data'!A:CA,A27+29,FALSE)</f>
        <v>955.954843599519</v>
      </c>
      <c r="O27" s="80">
        <f>VLOOKUP('Hide - Control'!C$3,'All practice data'!A:CA,A27+29,FALSE)</f>
        <v>1059.3522061277838</v>
      </c>
      <c r="P27" s="38">
        <f>VLOOKUP('Hide - Control'!$B$4,'All practice data'!B:BC,A27+2,FALSE)</f>
        <v>3355</v>
      </c>
      <c r="Q27" s="38">
        <f>VLOOKUP('Hide - Control'!$B$4,'All practice data'!B:BC,3,FALSE)</f>
        <v>350958</v>
      </c>
      <c r="R27" s="38">
        <f t="shared" si="21"/>
        <v>923.877513658397</v>
      </c>
      <c r="S27" s="38">
        <f t="shared" si="22"/>
        <v>988.8616903524123</v>
      </c>
      <c r="T27" s="53">
        <f t="shared" si="19"/>
        <v>1475.0482177734375</v>
      </c>
      <c r="U27" s="51">
        <f t="shared" si="20"/>
        <v>417.9878845214844</v>
      </c>
      <c r="V27" s="7"/>
      <c r="W27" s="27">
        <f t="shared" si="2"/>
        <v>417.9878845214844</v>
      </c>
      <c r="X27" s="27">
        <f t="shared" si="3"/>
        <v>1578.9659729003906</v>
      </c>
      <c r="Y27" s="27">
        <f t="shared" si="4"/>
        <v>417.9878845214844</v>
      </c>
      <c r="Z27" s="27">
        <f t="shared" si="5"/>
        <v>1578.9659729003906</v>
      </c>
      <c r="AA27" s="32">
        <f t="shared" si="6"/>
        <v>0</v>
      </c>
      <c r="AB27" s="33">
        <f t="shared" si="7"/>
        <v>0.3550737811204342</v>
      </c>
      <c r="AC27" s="33">
        <v>0.5</v>
      </c>
      <c r="AD27" s="33">
        <f t="shared" si="8"/>
        <v>0.5896786866837018</v>
      </c>
      <c r="AE27" s="33">
        <f t="shared" si="9"/>
        <v>0.9104912003360414</v>
      </c>
      <c r="AF27" s="33">
        <f t="shared" si="10"/>
        <v>-999</v>
      </c>
      <c r="AG27" s="33">
        <f t="shared" si="11"/>
        <v>0.32412296785255323</v>
      </c>
      <c r="AH27" s="33">
        <f t="shared" si="12"/>
        <v>-999</v>
      </c>
      <c r="AI27" s="34">
        <f t="shared" si="13"/>
        <v>0.5524344757460905</v>
      </c>
      <c r="AJ27" s="4">
        <v>24.221959800077364</v>
      </c>
      <c r="AK27" s="32">
        <f t="shared" si="14"/>
        <v>-999</v>
      </c>
      <c r="AL27" s="34">
        <f t="shared" si="15"/>
        <v>-999</v>
      </c>
      <c r="AY27" s="103" t="s">
        <v>115</v>
      </c>
      <c r="AZ27" s="103" t="s">
        <v>395</v>
      </c>
      <c r="BA27" s="103" t="s">
        <v>503</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86</v>
      </c>
      <c r="E28" s="38">
        <f>IF(LEFT(VLOOKUP($B28,'Indicator chart'!$D$1:$J$36,5,FALSE),1)=" "," ",VLOOKUP($B28,'Indicator chart'!$D$1:$J$36,5,FALSE))</f>
        <v>689.987163029525</v>
      </c>
      <c r="F28" s="38">
        <f>IF(LEFT(VLOOKUP($B28,'Indicator chart'!$D$1:$J$36,6,FALSE),1)=" "," ",VLOOKUP($B28,'Indicator chart'!$D$1:$J$36,6,FALSE))</f>
        <v>551.8818124555866</v>
      </c>
      <c r="G28" s="38">
        <f>IF(LEFT(VLOOKUP($B28,'Indicator chart'!$D$1:$J$36,7,FALSE),1)=" "," ",VLOOKUP($B28,'Indicator chart'!$D$1:$J$36,7,FALSE))</f>
        <v>852.141243608351</v>
      </c>
      <c r="H28" s="50">
        <f t="shared" si="0"/>
        <v>2</v>
      </c>
      <c r="I28" s="38">
        <v>413.1834411621094</v>
      </c>
      <c r="J28" s="38">
        <v>595.541259765625</v>
      </c>
      <c r="K28" s="38">
        <v>675.1389770507812</v>
      </c>
      <c r="L28" s="38">
        <v>799.0415649414062</v>
      </c>
      <c r="M28" s="38">
        <v>1030.158203125</v>
      </c>
      <c r="N28" s="80">
        <f>VLOOKUP('Hide - Control'!B$3,'All practice data'!A:CA,A28+29,FALSE)</f>
        <v>692.1056080784596</v>
      </c>
      <c r="O28" s="80">
        <f>VLOOKUP('Hide - Control'!C$3,'All practice data'!A:CA,A28+29,FALSE)</f>
        <v>582.9390489900089</v>
      </c>
      <c r="P28" s="38">
        <f>VLOOKUP('Hide - Control'!$B$4,'All practice data'!B:BC,A28+2,FALSE)</f>
        <v>2429</v>
      </c>
      <c r="Q28" s="38">
        <f>VLOOKUP('Hide - Control'!$B$4,'All practice data'!B:BC,3,FALSE)</f>
        <v>350958</v>
      </c>
      <c r="R28" s="38">
        <f>100000*(P28*(1-1/(9*P28)-1.96/(3*SQRT(P28)))^3)/Q28</f>
        <v>664.8521928029696</v>
      </c>
      <c r="S28" s="38">
        <f>100000*((P28+1)*(1-1/(9*(P28+1))+1.96/(3*SQRT(P28+1)))^3)/Q28</f>
        <v>720.1893780860842</v>
      </c>
      <c r="T28" s="53">
        <f t="shared" si="19"/>
        <v>1030.158203125</v>
      </c>
      <c r="U28" s="51">
        <f t="shared" si="20"/>
        <v>413.1834411621094</v>
      </c>
      <c r="V28" s="7"/>
      <c r="W28" s="27">
        <f t="shared" si="2"/>
        <v>320.1197509765625</v>
      </c>
      <c r="X28" s="27">
        <f t="shared" si="3"/>
        <v>1030.158203125</v>
      </c>
      <c r="Y28" s="27">
        <f t="shared" si="4"/>
        <v>320.1197509765625</v>
      </c>
      <c r="Z28" s="27">
        <f t="shared" si="5"/>
        <v>1030.158203125</v>
      </c>
      <c r="AA28" s="32">
        <f t="shared" si="6"/>
        <v>0.1310685215764785</v>
      </c>
      <c r="AB28" s="33">
        <f t="shared" si="7"/>
        <v>0.38789661032538575</v>
      </c>
      <c r="AC28" s="33">
        <v>0.5</v>
      </c>
      <c r="AD28" s="33">
        <f t="shared" si="8"/>
        <v>0.6745012365396832</v>
      </c>
      <c r="AE28" s="33">
        <f t="shared" si="9"/>
        <v>1</v>
      </c>
      <c r="AF28" s="33">
        <f t="shared" si="10"/>
        <v>-999</v>
      </c>
      <c r="AG28" s="33">
        <f t="shared" si="11"/>
        <v>0.5209118054576003</v>
      </c>
      <c r="AH28" s="33">
        <f t="shared" si="12"/>
        <v>-999</v>
      </c>
      <c r="AI28" s="34">
        <f t="shared" si="13"/>
        <v>0.37014797891326395</v>
      </c>
      <c r="AJ28" s="4">
        <v>25.297955225459287</v>
      </c>
      <c r="AK28" s="32">
        <f t="shared" si="14"/>
        <v>-999</v>
      </c>
      <c r="AL28" s="34">
        <f t="shared" si="15"/>
        <v>-999</v>
      </c>
      <c r="AY28" s="103" t="s">
        <v>241</v>
      </c>
      <c r="AZ28" s="103" t="s">
        <v>242</v>
      </c>
      <c r="BA28" s="103" t="s">
        <v>503</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398</v>
      </c>
      <c r="BA29" s="103" t="s">
        <v>322</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322</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419</v>
      </c>
      <c r="BA31" s="103" t="s">
        <v>322</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378</v>
      </c>
      <c r="BA32" s="103" t="s">
        <v>322</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443</v>
      </c>
      <c r="BA33" s="103" t="s">
        <v>503</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322</v>
      </c>
      <c r="BB34" s="10">
        <v>532801</v>
      </c>
      <c r="BE34" s="77"/>
      <c r="BF34" s="253"/>
    </row>
    <row r="35" spans="2:58" ht="12.75">
      <c r="B35" s="17" t="s">
        <v>41</v>
      </c>
      <c r="C35" s="18"/>
      <c r="H35" s="290" t="s">
        <v>555</v>
      </c>
      <c r="I35" s="291"/>
      <c r="Y35" s="43"/>
      <c r="Z35" s="44"/>
      <c r="AA35" s="44"/>
      <c r="AB35" s="43"/>
      <c r="AC35" s="43"/>
      <c r="AY35" s="103" t="s">
        <v>159</v>
      </c>
      <c r="AZ35" s="103" t="s">
        <v>411</v>
      </c>
      <c r="BA35" s="103" t="s">
        <v>322</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400</v>
      </c>
      <c r="BA36" s="103" t="s">
        <v>322</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417</v>
      </c>
      <c r="BA37" s="103" t="s">
        <v>322</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322</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322</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322</v>
      </c>
      <c r="BB40" s="10">
        <v>714731</v>
      </c>
      <c r="BF40" s="252"/>
    </row>
    <row r="41" spans="1:58" ht="12.75">
      <c r="A41" s="3"/>
      <c r="B41" s="71"/>
      <c r="C41" s="3"/>
      <c r="T41" s="13"/>
      <c r="U41" s="2"/>
      <c r="W41" s="2"/>
      <c r="X41" s="10"/>
      <c r="Y41" s="44"/>
      <c r="Z41" s="44"/>
      <c r="AA41" s="44"/>
      <c r="AB41" s="44"/>
      <c r="AC41" s="44"/>
      <c r="AD41" s="2"/>
      <c r="AE41" s="2"/>
      <c r="AY41" s="103" t="s">
        <v>272</v>
      </c>
      <c r="AZ41" s="103" t="s">
        <v>444</v>
      </c>
      <c r="BA41" s="103" t="s">
        <v>503</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322</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441</v>
      </c>
      <c r="BA43" s="103" t="s">
        <v>322</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429</v>
      </c>
      <c r="BA44" s="103" t="s">
        <v>322</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322</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420</v>
      </c>
      <c r="BA46" s="103" t="s">
        <v>503</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322</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424</v>
      </c>
      <c r="BA48" s="103" t="s">
        <v>503</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435</v>
      </c>
      <c r="BA49" s="103" t="s">
        <v>503</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322</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401</v>
      </c>
      <c r="BA51" s="103" t="s">
        <v>322</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322</v>
      </c>
      <c r="BB52" s="10">
        <v>611636</v>
      </c>
      <c r="BF52" s="252"/>
    </row>
    <row r="53" spans="1:58" ht="12.75">
      <c r="A53" s="3"/>
      <c r="B53" s="12"/>
      <c r="C53" s="3"/>
      <c r="I53" s="11"/>
      <c r="J53" s="11"/>
      <c r="K53" s="11"/>
      <c r="L53" s="11"/>
      <c r="S53" s="11"/>
      <c r="U53" s="2"/>
      <c r="X53" s="2"/>
      <c r="Y53" s="2"/>
      <c r="Z53" s="2"/>
      <c r="AA53" s="2"/>
      <c r="AB53" s="2"/>
      <c r="AY53" s="103" t="s">
        <v>244</v>
      </c>
      <c r="AZ53" s="103" t="s">
        <v>434</v>
      </c>
      <c r="BA53" s="103" t="s">
        <v>322</v>
      </c>
      <c r="BB53" s="10">
        <v>230998</v>
      </c>
      <c r="BF53" s="252"/>
    </row>
    <row r="54" spans="1:58" ht="12.75">
      <c r="A54" s="3"/>
      <c r="B54" s="12"/>
      <c r="C54" s="3"/>
      <c r="I54" s="11"/>
      <c r="J54" s="11"/>
      <c r="K54" s="11"/>
      <c r="L54" s="11"/>
      <c r="S54" s="11"/>
      <c r="U54" s="2"/>
      <c r="X54" s="2"/>
      <c r="Y54" s="2"/>
      <c r="Z54" s="2"/>
      <c r="AA54" s="2"/>
      <c r="AB54" s="2"/>
      <c r="AY54" s="103" t="s">
        <v>67</v>
      </c>
      <c r="AZ54" s="103" t="s">
        <v>375</v>
      </c>
      <c r="BA54" s="103" t="s">
        <v>322</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421</v>
      </c>
      <c r="BA55" s="103" t="s">
        <v>322</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391</v>
      </c>
      <c r="BA56" s="103" t="s">
        <v>322</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436</v>
      </c>
      <c r="BA57" s="103" t="s">
        <v>322</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381</v>
      </c>
      <c r="BA58" s="103" t="s">
        <v>322</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322</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322</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425</v>
      </c>
      <c r="BA61" s="103" t="s">
        <v>503</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503</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414</v>
      </c>
      <c r="BA63" s="103" t="s">
        <v>322</v>
      </c>
      <c r="BB63" s="10">
        <v>318405</v>
      </c>
      <c r="BE63" s="70"/>
      <c r="BF63" s="239"/>
    </row>
    <row r="64" spans="1:58" ht="12.75">
      <c r="A64" s="3"/>
      <c r="B64" s="12"/>
      <c r="C64" s="3"/>
      <c r="I64" s="11"/>
      <c r="V64" s="3"/>
      <c r="AY64" s="103" t="s">
        <v>78</v>
      </c>
      <c r="AZ64" s="103" t="s">
        <v>382</v>
      </c>
      <c r="BA64" s="103" t="s">
        <v>503</v>
      </c>
      <c r="BB64" s="10">
        <v>181285</v>
      </c>
      <c r="BE64" s="70"/>
      <c r="BF64" s="241"/>
    </row>
    <row r="65" spans="1:58" ht="12.75">
      <c r="A65" s="3"/>
      <c r="B65" s="12"/>
      <c r="C65" s="3"/>
      <c r="AY65" s="103" t="s">
        <v>492</v>
      </c>
      <c r="AZ65" s="103" t="s">
        <v>493</v>
      </c>
      <c r="BA65" s="103" t="s">
        <v>322</v>
      </c>
      <c r="BB65" s="10">
        <v>1169302</v>
      </c>
      <c r="BE65" s="70"/>
      <c r="BF65" s="241"/>
    </row>
    <row r="66" spans="1:58" ht="12.75">
      <c r="A66" s="3"/>
      <c r="B66" s="12"/>
      <c r="C66" s="3"/>
      <c r="E66" s="2"/>
      <c r="F66" s="2"/>
      <c r="G66" s="2"/>
      <c r="V66" s="2"/>
      <c r="AY66" s="103" t="s">
        <v>200</v>
      </c>
      <c r="AZ66" s="103" t="s">
        <v>422</v>
      </c>
      <c r="BA66" s="103" t="s">
        <v>322</v>
      </c>
      <c r="BB66" s="10">
        <v>217916</v>
      </c>
      <c r="BE66" s="70"/>
      <c r="BF66" s="239"/>
    </row>
    <row r="67" spans="1:58" ht="12.75">
      <c r="A67" s="3"/>
      <c r="B67" s="12"/>
      <c r="C67" s="3"/>
      <c r="AY67" s="103" t="s">
        <v>69</v>
      </c>
      <c r="AZ67" s="103" t="s">
        <v>70</v>
      </c>
      <c r="BA67" s="103" t="s">
        <v>322</v>
      </c>
      <c r="BB67" s="10">
        <v>270842</v>
      </c>
      <c r="BE67" s="70"/>
      <c r="BF67" s="239"/>
    </row>
    <row r="68" spans="1:58" ht="12.75">
      <c r="A68" s="3"/>
      <c r="B68" s="12"/>
      <c r="C68" s="3"/>
      <c r="AY68" s="103" t="s">
        <v>109</v>
      </c>
      <c r="AZ68" s="103" t="s">
        <v>110</v>
      </c>
      <c r="BA68" s="103" t="s">
        <v>322</v>
      </c>
      <c r="BB68" s="10">
        <v>251613</v>
      </c>
      <c r="BF68" s="252"/>
    </row>
    <row r="69" spans="1:58" ht="12.75">
      <c r="A69" s="3"/>
      <c r="B69" s="12"/>
      <c r="C69" s="3"/>
      <c r="AY69" s="103" t="s">
        <v>209</v>
      </c>
      <c r="AZ69" s="103" t="s">
        <v>210</v>
      </c>
      <c r="BA69" s="103" t="s">
        <v>322</v>
      </c>
      <c r="BB69" s="10">
        <v>283547</v>
      </c>
      <c r="BE69" s="70"/>
      <c r="BF69" s="241"/>
    </row>
    <row r="70" spans="1:58" ht="12.75">
      <c r="A70" s="3"/>
      <c r="B70" s="12"/>
      <c r="C70" s="3"/>
      <c r="AY70" s="103" t="s">
        <v>275</v>
      </c>
      <c r="AZ70" s="103" t="s">
        <v>445</v>
      </c>
      <c r="BA70" s="103" t="s">
        <v>502</v>
      </c>
      <c r="BB70" s="10">
        <v>141474</v>
      </c>
      <c r="BE70" s="70"/>
      <c r="BF70" s="239"/>
    </row>
    <row r="71" spans="1:58" ht="12.75">
      <c r="A71" s="3"/>
      <c r="B71" s="12"/>
      <c r="C71" s="3"/>
      <c r="AY71" s="103" t="s">
        <v>127</v>
      </c>
      <c r="AZ71" s="103" t="s">
        <v>399</v>
      </c>
      <c r="BA71" s="103" t="s">
        <v>322</v>
      </c>
      <c r="BB71" s="10">
        <v>213326</v>
      </c>
      <c r="BE71" s="70"/>
      <c r="BF71" s="239"/>
    </row>
    <row r="72" spans="1:58" ht="12.75">
      <c r="A72" s="3"/>
      <c r="B72" s="12"/>
      <c r="C72" s="3"/>
      <c r="AY72" s="103" t="s">
        <v>136</v>
      </c>
      <c r="AZ72" s="103" t="s">
        <v>137</v>
      </c>
      <c r="BA72" s="103" t="s">
        <v>322</v>
      </c>
      <c r="BB72" s="10">
        <v>183220</v>
      </c>
      <c r="BE72" s="250"/>
      <c r="BF72" s="239"/>
    </row>
    <row r="73" spans="1:58" ht="12.75">
      <c r="A73" s="3"/>
      <c r="B73" s="12"/>
      <c r="C73" s="3"/>
      <c r="AY73" s="103" t="s">
        <v>64</v>
      </c>
      <c r="AZ73" s="103" t="s">
        <v>374</v>
      </c>
      <c r="BA73" s="103" t="s">
        <v>322</v>
      </c>
      <c r="BB73" s="10">
        <v>190143</v>
      </c>
      <c r="BE73" s="70"/>
      <c r="BF73" s="239"/>
    </row>
    <row r="74" spans="1:58" ht="12.75">
      <c r="A74" s="3"/>
      <c r="B74" s="12"/>
      <c r="C74" s="3"/>
      <c r="AY74" s="103" t="s">
        <v>165</v>
      </c>
      <c r="AZ74" s="103" t="s">
        <v>166</v>
      </c>
      <c r="BA74" s="103" t="s">
        <v>503</v>
      </c>
      <c r="BB74" s="10">
        <v>419928</v>
      </c>
      <c r="BE74" s="70"/>
      <c r="BF74" s="241"/>
    </row>
    <row r="75" spans="1:58" ht="12.75">
      <c r="A75" s="3"/>
      <c r="B75" s="12"/>
      <c r="C75" s="3"/>
      <c r="AY75" s="103" t="s">
        <v>113</v>
      </c>
      <c r="AZ75" s="103" t="s">
        <v>393</v>
      </c>
      <c r="BA75" s="103" t="s">
        <v>322</v>
      </c>
      <c r="BB75" s="10">
        <v>158106</v>
      </c>
      <c r="BE75" s="70"/>
      <c r="BF75" s="241"/>
    </row>
    <row r="76" spans="1:58" ht="12.75">
      <c r="A76" s="3"/>
      <c r="B76" s="12"/>
      <c r="C76" s="3"/>
      <c r="AY76" s="103" t="s">
        <v>140</v>
      </c>
      <c r="AZ76" s="103" t="s">
        <v>141</v>
      </c>
      <c r="BA76" s="103" t="s">
        <v>322</v>
      </c>
      <c r="BB76" s="10">
        <v>377807</v>
      </c>
      <c r="BE76" s="70"/>
      <c r="BF76" s="241"/>
    </row>
    <row r="77" spans="1:58" ht="12.75">
      <c r="A77" s="3"/>
      <c r="B77" s="12"/>
      <c r="C77" s="3"/>
      <c r="AY77" s="103" t="s">
        <v>163</v>
      </c>
      <c r="AZ77" s="103" t="s">
        <v>164</v>
      </c>
      <c r="BA77" s="103" t="s">
        <v>503</v>
      </c>
      <c r="BB77" s="10">
        <v>799634</v>
      </c>
      <c r="BE77" s="70"/>
      <c r="BF77" s="249"/>
    </row>
    <row r="78" spans="1:58" ht="12.75">
      <c r="A78" s="3"/>
      <c r="B78" s="12"/>
      <c r="C78" s="3"/>
      <c r="AY78" s="103" t="s">
        <v>224</v>
      </c>
      <c r="AZ78" s="103" t="s">
        <v>225</v>
      </c>
      <c r="BA78" s="103" t="s">
        <v>322</v>
      </c>
      <c r="BB78" s="10">
        <v>362638</v>
      </c>
      <c r="BE78" s="70"/>
      <c r="BF78" s="239"/>
    </row>
    <row r="79" spans="1:58" ht="12.75">
      <c r="A79" s="3"/>
      <c r="B79" s="12"/>
      <c r="C79" s="3"/>
      <c r="AY79" s="103" t="s">
        <v>223</v>
      </c>
      <c r="AZ79" s="103" t="s">
        <v>427</v>
      </c>
      <c r="BA79" s="103" t="s">
        <v>322</v>
      </c>
      <c r="BB79" s="10">
        <v>678998</v>
      </c>
      <c r="BF79" s="239"/>
    </row>
    <row r="80" spans="1:58" ht="12.75">
      <c r="A80" s="3"/>
      <c r="B80" s="12"/>
      <c r="C80" s="3"/>
      <c r="AY80" s="103" t="s">
        <v>144</v>
      </c>
      <c r="AZ80" s="103" t="s">
        <v>145</v>
      </c>
      <c r="BA80" s="103" t="s">
        <v>322</v>
      </c>
      <c r="BB80" s="10">
        <v>290986</v>
      </c>
      <c r="BF80" s="252"/>
    </row>
    <row r="81" spans="1:58" ht="12.75">
      <c r="A81" s="3"/>
      <c r="B81" s="12"/>
      <c r="C81" s="3"/>
      <c r="AY81" s="103" t="s">
        <v>178</v>
      </c>
      <c r="AZ81" s="103" t="s">
        <v>416</v>
      </c>
      <c r="BA81" s="103" t="s">
        <v>503</v>
      </c>
      <c r="BB81" s="10">
        <v>747976</v>
      </c>
      <c r="BF81" s="252"/>
    </row>
    <row r="82" spans="1:58" ht="12.75">
      <c r="A82" s="3"/>
      <c r="B82" s="12"/>
      <c r="C82" s="3"/>
      <c r="AY82" s="103" t="s">
        <v>193</v>
      </c>
      <c r="AZ82" s="103" t="s">
        <v>194</v>
      </c>
      <c r="BA82" s="103" t="s">
        <v>322</v>
      </c>
      <c r="BB82" s="10">
        <v>489140</v>
      </c>
      <c r="BF82" s="252"/>
    </row>
    <row r="83" spans="1:58" ht="12.75">
      <c r="A83" s="3"/>
      <c r="B83" s="12"/>
      <c r="C83" s="3"/>
      <c r="AY83" s="103" t="s">
        <v>98</v>
      </c>
      <c r="AZ83" s="103" t="s">
        <v>390</v>
      </c>
      <c r="BA83" s="103" t="s">
        <v>503</v>
      </c>
      <c r="BB83" s="10">
        <v>208442</v>
      </c>
      <c r="BE83" s="70"/>
      <c r="BF83" s="241"/>
    </row>
    <row r="84" spans="1:58" ht="12.75">
      <c r="A84" s="3"/>
      <c r="B84" s="12"/>
      <c r="C84" s="3"/>
      <c r="AY84" s="103" t="s">
        <v>203</v>
      </c>
      <c r="AZ84" s="103" t="s">
        <v>204</v>
      </c>
      <c r="BA84" s="103" t="s">
        <v>503</v>
      </c>
      <c r="BB84" s="10">
        <v>545543</v>
      </c>
      <c r="BE84" s="70"/>
      <c r="BF84" s="241"/>
    </row>
    <row r="85" spans="1:58" ht="12.75">
      <c r="A85" s="3"/>
      <c r="B85" s="12"/>
      <c r="C85" s="3"/>
      <c r="AY85" s="103" t="s">
        <v>135</v>
      </c>
      <c r="AZ85" s="103" t="s">
        <v>405</v>
      </c>
      <c r="BA85" s="103" t="s">
        <v>503</v>
      </c>
      <c r="BB85" s="10">
        <v>274067</v>
      </c>
      <c r="BE85" s="70"/>
      <c r="BF85" s="241"/>
    </row>
    <row r="86" spans="1:58" ht="12.75">
      <c r="A86" s="3"/>
      <c r="B86" s="12"/>
      <c r="C86" s="3"/>
      <c r="AY86" s="103" t="s">
        <v>251</v>
      </c>
      <c r="AZ86" s="103" t="s">
        <v>252</v>
      </c>
      <c r="BA86" s="103" t="s">
        <v>503</v>
      </c>
      <c r="BB86" s="10">
        <v>374861</v>
      </c>
      <c r="BE86" s="70"/>
      <c r="BF86" s="249"/>
    </row>
    <row r="87" spans="1:58" ht="12.75">
      <c r="A87" s="3"/>
      <c r="B87" s="12"/>
      <c r="C87" s="3"/>
      <c r="AY87" s="103" t="s">
        <v>132</v>
      </c>
      <c r="AZ87" s="103" t="s">
        <v>133</v>
      </c>
      <c r="BA87" s="103" t="s">
        <v>322</v>
      </c>
      <c r="BB87" s="10">
        <v>153833</v>
      </c>
      <c r="BE87" s="70"/>
      <c r="BF87" s="249"/>
    </row>
    <row r="88" spans="1:58" ht="12.75">
      <c r="A88" s="3"/>
      <c r="B88" s="12"/>
      <c r="C88" s="3"/>
      <c r="AY88" s="103" t="s">
        <v>79</v>
      </c>
      <c r="AZ88" s="103" t="s">
        <v>80</v>
      </c>
      <c r="BA88" s="103" t="s">
        <v>503</v>
      </c>
      <c r="BB88" s="10">
        <v>258492</v>
      </c>
      <c r="BE88" s="70"/>
      <c r="BF88" s="241"/>
    </row>
    <row r="89" spans="1:58" ht="12.75">
      <c r="A89" s="3"/>
      <c r="B89" s="12"/>
      <c r="C89" s="3"/>
      <c r="AY89" s="103" t="s">
        <v>81</v>
      </c>
      <c r="AZ89" s="103" t="s">
        <v>383</v>
      </c>
      <c r="BA89" s="103" t="s">
        <v>322</v>
      </c>
      <c r="BB89" s="10">
        <v>283085</v>
      </c>
      <c r="BE89" s="70"/>
      <c r="BF89" s="241"/>
    </row>
    <row r="90" spans="1:58" ht="12.75">
      <c r="A90" s="3"/>
      <c r="B90" s="12"/>
      <c r="C90" s="3"/>
      <c r="AY90" s="103" t="s">
        <v>76</v>
      </c>
      <c r="AZ90" s="103" t="s">
        <v>380</v>
      </c>
      <c r="BA90" s="103" t="s">
        <v>322</v>
      </c>
      <c r="BB90" s="10">
        <v>357346</v>
      </c>
      <c r="BE90" s="70"/>
      <c r="BF90" s="241"/>
    </row>
    <row r="91" spans="1:58" ht="12.75">
      <c r="A91" s="3"/>
      <c r="B91" s="12"/>
      <c r="C91" s="3"/>
      <c r="AY91" s="103" t="s">
        <v>243</v>
      </c>
      <c r="AZ91" s="103" t="s">
        <v>433</v>
      </c>
      <c r="BA91" s="103" t="s">
        <v>503</v>
      </c>
      <c r="BB91" s="10">
        <v>748575</v>
      </c>
      <c r="BE91" s="247"/>
      <c r="BF91" s="249"/>
    </row>
    <row r="92" spans="1:58" ht="12.75">
      <c r="A92" s="3"/>
      <c r="B92" s="12"/>
      <c r="C92" s="3"/>
      <c r="AY92" s="103" t="s">
        <v>249</v>
      </c>
      <c r="AZ92" s="103" t="s">
        <v>250</v>
      </c>
      <c r="BA92" s="103" t="s">
        <v>503</v>
      </c>
      <c r="BB92" s="10">
        <v>322673</v>
      </c>
      <c r="BE92" s="247"/>
      <c r="BF92" s="249"/>
    </row>
    <row r="93" spans="1:58" ht="12.75">
      <c r="A93" s="3"/>
      <c r="B93" s="12"/>
      <c r="C93" s="3"/>
      <c r="AY93" s="103" t="s">
        <v>58</v>
      </c>
      <c r="AZ93" s="103" t="s">
        <v>59</v>
      </c>
      <c r="BA93" s="103" t="s">
        <v>322</v>
      </c>
      <c r="BB93" s="10">
        <v>165284</v>
      </c>
      <c r="BF93" s="252"/>
    </row>
    <row r="94" spans="1:58" ht="12.75">
      <c r="A94" s="3"/>
      <c r="B94" s="12"/>
      <c r="C94" s="3"/>
      <c r="AY94" s="103" t="s">
        <v>186</v>
      </c>
      <c r="AZ94" s="103" t="s">
        <v>418</v>
      </c>
      <c r="BA94" s="103" t="s">
        <v>322</v>
      </c>
      <c r="BB94" s="10">
        <v>339272</v>
      </c>
      <c r="BE94" s="70"/>
      <c r="BF94" s="241"/>
    </row>
    <row r="95" spans="1:58" ht="12.75">
      <c r="A95" s="3"/>
      <c r="B95" s="12"/>
      <c r="C95" s="3"/>
      <c r="AY95" s="103" t="s">
        <v>86</v>
      </c>
      <c r="AZ95" s="103" t="s">
        <v>87</v>
      </c>
      <c r="BA95" s="103" t="s">
        <v>322</v>
      </c>
      <c r="BB95" s="10">
        <v>165642</v>
      </c>
      <c r="BE95" s="247"/>
      <c r="BF95" s="249"/>
    </row>
    <row r="96" spans="1:58" ht="12.75">
      <c r="A96" s="3"/>
      <c r="B96" s="12"/>
      <c r="C96" s="3"/>
      <c r="AY96" s="103" t="s">
        <v>157</v>
      </c>
      <c r="AZ96" s="103" t="s">
        <v>158</v>
      </c>
      <c r="BA96" s="103" t="s">
        <v>322</v>
      </c>
      <c r="BB96" s="10">
        <v>208351</v>
      </c>
      <c r="BE96" s="243"/>
      <c r="BF96" s="238"/>
    </row>
    <row r="97" spans="1:58" ht="12.75">
      <c r="A97" s="3"/>
      <c r="B97" s="12"/>
      <c r="C97" s="3"/>
      <c r="AY97" s="103" t="s">
        <v>231</v>
      </c>
      <c r="AZ97" s="103" t="s">
        <v>232</v>
      </c>
      <c r="BA97" s="103" t="s">
        <v>322</v>
      </c>
      <c r="BB97" s="10">
        <v>203178</v>
      </c>
      <c r="BE97" s="243"/>
      <c r="BF97" s="238"/>
    </row>
    <row r="98" spans="1:58" ht="12.75">
      <c r="A98" s="3"/>
      <c r="B98" s="12"/>
      <c r="C98" s="3"/>
      <c r="AY98" s="103" t="s">
        <v>82</v>
      </c>
      <c r="AZ98" s="103" t="s">
        <v>384</v>
      </c>
      <c r="BA98" s="103" t="s">
        <v>322</v>
      </c>
      <c r="BB98" s="10">
        <v>214052</v>
      </c>
      <c r="BE98" s="248"/>
      <c r="BF98" s="241"/>
    </row>
    <row r="99" spans="1:58" ht="12.75">
      <c r="A99" s="3"/>
      <c r="B99" s="12"/>
      <c r="C99" s="3"/>
      <c r="AY99" s="103" t="s">
        <v>205</v>
      </c>
      <c r="AZ99" s="103" t="s">
        <v>206</v>
      </c>
      <c r="BA99" s="103" t="s">
        <v>503</v>
      </c>
      <c r="BB99" s="10">
        <v>795503</v>
      </c>
      <c r="BE99" s="70"/>
      <c r="BF99" s="249"/>
    </row>
    <row r="100" spans="1:58" ht="12.75">
      <c r="A100" s="3"/>
      <c r="B100" s="12"/>
      <c r="C100" s="3"/>
      <c r="AY100" s="103" t="s">
        <v>226</v>
      </c>
      <c r="AZ100" s="103" t="s">
        <v>428</v>
      </c>
      <c r="BA100" s="103" t="s">
        <v>322</v>
      </c>
      <c r="BB100" s="10">
        <v>648340</v>
      </c>
      <c r="BE100" s="70"/>
      <c r="BF100" s="249"/>
    </row>
    <row r="101" spans="51:58" ht="12.75">
      <c r="AY101" s="103" t="s">
        <v>51</v>
      </c>
      <c r="AZ101" s="103" t="s">
        <v>52</v>
      </c>
      <c r="BA101" s="103" t="s">
        <v>322</v>
      </c>
      <c r="BB101" s="10">
        <v>320818</v>
      </c>
      <c r="BE101" s="237"/>
      <c r="BF101" s="238"/>
    </row>
    <row r="102" spans="51:58" ht="12.75">
      <c r="AY102" s="103" t="s">
        <v>88</v>
      </c>
      <c r="AZ102" s="103" t="s">
        <v>89</v>
      </c>
      <c r="BA102" s="103" t="s">
        <v>322</v>
      </c>
      <c r="BB102" s="10">
        <v>339920</v>
      </c>
      <c r="BE102" s="237"/>
      <c r="BF102" s="238"/>
    </row>
    <row r="103" spans="51:58" ht="12.75">
      <c r="AY103" s="103" t="s">
        <v>177</v>
      </c>
      <c r="AZ103" s="103" t="s">
        <v>415</v>
      </c>
      <c r="BA103" s="103" t="s">
        <v>322</v>
      </c>
      <c r="BB103" s="10">
        <v>656875</v>
      </c>
      <c r="BE103" s="70"/>
      <c r="BF103" s="239"/>
    </row>
    <row r="104" spans="51:58" ht="12.75">
      <c r="AY104" s="103" t="s">
        <v>114</v>
      </c>
      <c r="AZ104" s="103" t="s">
        <v>394</v>
      </c>
      <c r="BA104" s="103" t="s">
        <v>322</v>
      </c>
      <c r="BB104" s="10">
        <v>236592</v>
      </c>
      <c r="BF104" s="252"/>
    </row>
    <row r="105" spans="51:58" ht="12.75">
      <c r="AY105" s="103" t="s">
        <v>259</v>
      </c>
      <c r="AZ105" s="103" t="s">
        <v>437</v>
      </c>
      <c r="BA105" s="103" t="s">
        <v>503</v>
      </c>
      <c r="BB105" s="10">
        <v>671572</v>
      </c>
      <c r="BE105" s="237"/>
      <c r="BF105" s="238"/>
    </row>
    <row r="106" spans="51:58" ht="12.75">
      <c r="AY106" s="103" t="s">
        <v>239</v>
      </c>
      <c r="AZ106" s="103" t="s">
        <v>240</v>
      </c>
      <c r="BA106" s="103" t="s">
        <v>503</v>
      </c>
      <c r="BB106" s="10">
        <v>177882</v>
      </c>
      <c r="BF106" s="252"/>
    </row>
    <row r="107" spans="51:58" ht="12.75">
      <c r="AY107" s="103" t="s">
        <v>91</v>
      </c>
      <c r="AZ107" s="103" t="s">
        <v>387</v>
      </c>
      <c r="BA107" s="103" t="s">
        <v>322</v>
      </c>
      <c r="BB107" s="10">
        <v>274443</v>
      </c>
      <c r="BF107" s="252"/>
    </row>
    <row r="108" spans="51:58" ht="12.75">
      <c r="AY108" s="103" t="s">
        <v>95</v>
      </c>
      <c r="AZ108" s="103" t="s">
        <v>389</v>
      </c>
      <c r="BA108" s="103" t="s">
        <v>322</v>
      </c>
      <c r="BB108" s="10">
        <v>213174</v>
      </c>
      <c r="BE108" s="70"/>
      <c r="BF108" s="239"/>
    </row>
    <row r="109" spans="51:58" ht="12.75">
      <c r="AY109" s="103" t="s">
        <v>179</v>
      </c>
      <c r="AZ109" s="103" t="s">
        <v>180</v>
      </c>
      <c r="BA109" s="103" t="s">
        <v>322</v>
      </c>
      <c r="BB109" s="10">
        <v>278950</v>
      </c>
      <c r="BE109" s="237"/>
      <c r="BF109" s="238"/>
    </row>
    <row r="110" spans="51:58" ht="12.75">
      <c r="AY110" s="103" t="s">
        <v>273</v>
      </c>
      <c r="AZ110" s="103" t="s">
        <v>274</v>
      </c>
      <c r="BA110" s="103" t="s">
        <v>322</v>
      </c>
      <c r="BB110" s="10">
        <v>133304</v>
      </c>
      <c r="BE110" s="70"/>
      <c r="BF110" s="249"/>
    </row>
    <row r="111" spans="51:58" ht="12.75">
      <c r="AY111" s="103" t="s">
        <v>155</v>
      </c>
      <c r="AZ111" s="103" t="s">
        <v>409</v>
      </c>
      <c r="BA111" s="103" t="s">
        <v>322</v>
      </c>
      <c r="BB111" s="10">
        <v>197060</v>
      </c>
      <c r="BE111" s="70"/>
      <c r="BF111" s="239"/>
    </row>
    <row r="112" spans="51:58" ht="12.75">
      <c r="AY112" s="103" t="s">
        <v>100</v>
      </c>
      <c r="AZ112" s="103" t="s">
        <v>101</v>
      </c>
      <c r="BA112" s="103" t="s">
        <v>322</v>
      </c>
      <c r="BB112" s="10">
        <v>253140</v>
      </c>
      <c r="BE112" s="250"/>
      <c r="BF112" s="249"/>
    </row>
    <row r="113" spans="51:58" ht="12.75">
      <c r="AY113" s="103" t="s">
        <v>92</v>
      </c>
      <c r="AZ113" s="103" t="s">
        <v>93</v>
      </c>
      <c r="BA113" s="103" t="s">
        <v>322</v>
      </c>
      <c r="BB113" s="10">
        <v>240983</v>
      </c>
      <c r="BE113" s="70"/>
      <c r="BF113" s="241"/>
    </row>
    <row r="114" spans="51:58" ht="12.75">
      <c r="AY114" s="103" t="s">
        <v>228</v>
      </c>
      <c r="AZ114" s="103" t="s">
        <v>430</v>
      </c>
      <c r="BA114" s="103" t="s">
        <v>322</v>
      </c>
      <c r="BB114" s="10">
        <v>340451</v>
      </c>
      <c r="BF114" s="241"/>
    </row>
    <row r="115" spans="51:58" ht="12.75">
      <c r="AY115" s="103" t="s">
        <v>189</v>
      </c>
      <c r="AZ115" s="103" t="s">
        <v>190</v>
      </c>
      <c r="BA115" s="103" t="s">
        <v>322</v>
      </c>
      <c r="BB115" s="10">
        <v>280673</v>
      </c>
      <c r="BE115" s="248"/>
      <c r="BF115" s="241"/>
    </row>
    <row r="116" spans="51:58" ht="12.75">
      <c r="AY116" s="103" t="s">
        <v>169</v>
      </c>
      <c r="AZ116" s="103" t="s">
        <v>170</v>
      </c>
      <c r="BA116" s="103" t="s">
        <v>322</v>
      </c>
      <c r="BB116" s="10">
        <v>565874</v>
      </c>
      <c r="BE116" s="70"/>
      <c r="BF116" s="239"/>
    </row>
    <row r="117" spans="51:58" ht="12.75">
      <c r="AY117" s="103" t="s">
        <v>152</v>
      </c>
      <c r="AZ117" s="103" t="s">
        <v>408</v>
      </c>
      <c r="BA117" s="103" t="s">
        <v>503</v>
      </c>
      <c r="BB117" s="10">
        <v>295379</v>
      </c>
      <c r="BE117" s="237"/>
      <c r="BF117" s="238"/>
    </row>
    <row r="118" spans="51:58" ht="12.75">
      <c r="AY118" s="103" t="s">
        <v>56</v>
      </c>
      <c r="AZ118" s="103" t="s">
        <v>57</v>
      </c>
      <c r="BA118" s="103" t="s">
        <v>322</v>
      </c>
      <c r="BB118" s="10">
        <v>217094</v>
      </c>
      <c r="BE118" s="70"/>
      <c r="BF118" s="239"/>
    </row>
    <row r="119" spans="51:58" ht="12.75">
      <c r="AY119" s="103" t="s">
        <v>268</v>
      </c>
      <c r="AZ119" s="103" t="s">
        <v>440</v>
      </c>
      <c r="BA119" s="103" t="s">
        <v>322</v>
      </c>
      <c r="BB119" s="10">
        <v>538131</v>
      </c>
      <c r="BE119" s="70"/>
      <c r="BF119" s="239"/>
    </row>
    <row r="120" spans="51:58" ht="12.75">
      <c r="AY120" s="103" t="s">
        <v>150</v>
      </c>
      <c r="AZ120" s="103" t="s">
        <v>151</v>
      </c>
      <c r="BA120" s="103" t="s">
        <v>503</v>
      </c>
      <c r="BB120" s="10">
        <v>389725</v>
      </c>
      <c r="BE120" s="70"/>
      <c r="BF120" s="239"/>
    </row>
    <row r="121" spans="51:58" ht="12.75">
      <c r="AY121" s="103" t="s">
        <v>212</v>
      </c>
      <c r="AZ121" s="103" t="s">
        <v>213</v>
      </c>
      <c r="BA121" s="103" t="s">
        <v>503</v>
      </c>
      <c r="BB121" s="10">
        <v>356812</v>
      </c>
      <c r="BE121" s="237"/>
      <c r="BF121" s="238"/>
    </row>
    <row r="122" spans="51:58" ht="12.75">
      <c r="AY122" s="103" t="s">
        <v>60</v>
      </c>
      <c r="AZ122" s="103" t="s">
        <v>61</v>
      </c>
      <c r="BA122" s="103" t="s">
        <v>322</v>
      </c>
      <c r="BB122" s="10">
        <v>256321</v>
      </c>
      <c r="BE122" s="70"/>
      <c r="BF122" s="249"/>
    </row>
    <row r="123" spans="51:58" ht="12.75">
      <c r="AY123" s="103" t="s">
        <v>234</v>
      </c>
      <c r="AZ123" s="103" t="s">
        <v>432</v>
      </c>
      <c r="BA123" s="103" t="s">
        <v>503</v>
      </c>
      <c r="BB123" s="10">
        <v>615835</v>
      </c>
      <c r="BF123" s="252"/>
    </row>
    <row r="124" spans="51:58" ht="12.75">
      <c r="AY124" s="103" t="s">
        <v>130</v>
      </c>
      <c r="AZ124" s="103" t="s">
        <v>402</v>
      </c>
      <c r="BA124" s="103" t="s">
        <v>322</v>
      </c>
      <c r="BB124" s="10">
        <v>150179</v>
      </c>
      <c r="BF124" s="252"/>
    </row>
    <row r="125" spans="51:58" ht="12.75">
      <c r="AY125" s="103" t="s">
        <v>253</v>
      </c>
      <c r="AZ125" s="103" t="s">
        <v>254</v>
      </c>
      <c r="BA125" s="103" t="s">
        <v>322</v>
      </c>
      <c r="BB125" s="10">
        <v>420503</v>
      </c>
      <c r="BE125" s="70"/>
      <c r="BF125" s="249"/>
    </row>
    <row r="126" spans="51:58" ht="12.75">
      <c r="AY126" s="103" t="s">
        <v>134</v>
      </c>
      <c r="AZ126" s="103" t="s">
        <v>404</v>
      </c>
      <c r="BA126" s="103" t="s">
        <v>322</v>
      </c>
      <c r="BB126" s="10">
        <v>263936</v>
      </c>
      <c r="BE126" s="70"/>
      <c r="BF126" s="239"/>
    </row>
    <row r="127" spans="51:58" ht="12.75">
      <c r="AY127" s="103" t="s">
        <v>142</v>
      </c>
      <c r="AZ127" s="103" t="s">
        <v>143</v>
      </c>
      <c r="BA127" s="103" t="s">
        <v>322</v>
      </c>
      <c r="BB127" s="10">
        <v>308593</v>
      </c>
      <c r="BF127" s="252"/>
    </row>
    <row r="128" spans="51:58" ht="12.75">
      <c r="AY128" s="103" t="s">
        <v>94</v>
      </c>
      <c r="AZ128" s="103" t="s">
        <v>388</v>
      </c>
      <c r="BA128" s="103" t="s">
        <v>503</v>
      </c>
      <c r="BB128" s="10">
        <v>298190</v>
      </c>
      <c r="BE128" s="250"/>
      <c r="BF128" s="249"/>
    </row>
    <row r="129" spans="51:58" ht="12.75">
      <c r="AY129" s="103" t="s">
        <v>85</v>
      </c>
      <c r="AZ129" s="103" t="s">
        <v>385</v>
      </c>
      <c r="BA129" s="103" t="s">
        <v>322</v>
      </c>
      <c r="BB129" s="10">
        <v>191885</v>
      </c>
      <c r="BE129" s="70"/>
      <c r="BF129" s="249"/>
    </row>
    <row r="130" spans="51:58" ht="12.75">
      <c r="AY130" s="103" t="s">
        <v>233</v>
      </c>
      <c r="AZ130" s="103" t="s">
        <v>431</v>
      </c>
      <c r="BA130" s="103" t="s">
        <v>322</v>
      </c>
      <c r="BB130" s="10">
        <v>268223</v>
      </c>
      <c r="BE130" s="70"/>
      <c r="BF130" s="249"/>
    </row>
    <row r="131" spans="51:58" ht="12.75">
      <c r="AY131" s="103" t="s">
        <v>245</v>
      </c>
      <c r="AZ131" s="103" t="s">
        <v>246</v>
      </c>
      <c r="BA131" s="103" t="s">
        <v>503</v>
      </c>
      <c r="BB131" s="10">
        <v>616983</v>
      </c>
      <c r="BE131" s="247"/>
      <c r="BF131" s="249"/>
    </row>
    <row r="132" spans="51:58" ht="12.75">
      <c r="AY132" s="103" t="s">
        <v>131</v>
      </c>
      <c r="AZ132" s="103" t="s">
        <v>403</v>
      </c>
      <c r="BA132" s="103" t="s">
        <v>322</v>
      </c>
      <c r="BB132" s="10">
        <v>283991</v>
      </c>
      <c r="BE132" s="247"/>
      <c r="BF132" s="249"/>
    </row>
    <row r="133" spans="51:58" ht="12.75">
      <c r="AY133" s="103" t="s">
        <v>216</v>
      </c>
      <c r="AZ133" s="103" t="s">
        <v>217</v>
      </c>
      <c r="BA133" s="103" t="s">
        <v>322</v>
      </c>
      <c r="BB133" s="10">
        <v>1156805</v>
      </c>
      <c r="BE133" s="247"/>
      <c r="BF133" s="251"/>
    </row>
    <row r="134" spans="51:58" ht="12.75">
      <c r="AY134" s="103" t="s">
        <v>156</v>
      </c>
      <c r="AZ134" s="103" t="s">
        <v>410</v>
      </c>
      <c r="BA134" s="103" t="s">
        <v>322</v>
      </c>
      <c r="BB134" s="10">
        <v>390971</v>
      </c>
      <c r="BE134" s="243"/>
      <c r="BF134" s="238"/>
    </row>
    <row r="135" spans="51:58" ht="12.75">
      <c r="AY135" s="103" t="s">
        <v>121</v>
      </c>
      <c r="AZ135" s="103" t="s">
        <v>122</v>
      </c>
      <c r="BA135" s="103" t="s">
        <v>502</v>
      </c>
      <c r="BB135" s="10">
        <v>218182</v>
      </c>
      <c r="BE135" s="250"/>
      <c r="BF135" s="249"/>
    </row>
    <row r="136" spans="51:58" ht="12.75">
      <c r="AY136" s="103" t="s">
        <v>148</v>
      </c>
      <c r="AZ136" s="103" t="s">
        <v>406</v>
      </c>
      <c r="BA136" s="103" t="s">
        <v>503</v>
      </c>
      <c r="BB136" s="10">
        <v>236598</v>
      </c>
      <c r="BE136" s="237"/>
      <c r="BF136" s="238"/>
    </row>
    <row r="137" spans="51:58" ht="12.75">
      <c r="AY137" s="103" t="s">
        <v>160</v>
      </c>
      <c r="AZ137" s="103" t="s">
        <v>412</v>
      </c>
      <c r="BA137" s="103" t="s">
        <v>503</v>
      </c>
      <c r="BB137" s="10">
        <v>165993</v>
      </c>
      <c r="BF137" s="252"/>
    </row>
    <row r="138" spans="51:58" ht="12.75">
      <c r="AY138" s="103" t="s">
        <v>54</v>
      </c>
      <c r="AZ138" s="103" t="s">
        <v>55</v>
      </c>
      <c r="BA138" s="103" t="s">
        <v>322</v>
      </c>
      <c r="BB138" s="10">
        <v>145889</v>
      </c>
      <c r="BE138" s="70"/>
      <c r="BF138" s="239"/>
    </row>
    <row r="139" spans="51:58" ht="12.75">
      <c r="AY139" s="103" t="s">
        <v>75</v>
      </c>
      <c r="AZ139" s="103" t="s">
        <v>379</v>
      </c>
      <c r="BA139" s="103" t="s">
        <v>322</v>
      </c>
      <c r="BB139" s="10">
        <v>267393</v>
      </c>
      <c r="BE139" s="237"/>
      <c r="BF139" s="238"/>
    </row>
    <row r="140" spans="51:58" ht="12.75">
      <c r="AY140" s="103" t="s">
        <v>201</v>
      </c>
      <c r="AZ140" s="103" t="s">
        <v>202</v>
      </c>
      <c r="BA140" s="103" t="s">
        <v>503</v>
      </c>
      <c r="BB140" s="10">
        <v>232551</v>
      </c>
      <c r="BE140" s="70"/>
      <c r="BF140" s="239"/>
    </row>
    <row r="141" spans="51:58" ht="12.75">
      <c r="AY141" s="103" t="s">
        <v>167</v>
      </c>
      <c r="AZ141" s="103" t="s">
        <v>168</v>
      </c>
      <c r="BA141" s="103" t="s">
        <v>503</v>
      </c>
      <c r="BB141" s="10">
        <v>350958</v>
      </c>
      <c r="BE141" s="70"/>
      <c r="BF141" s="239"/>
    </row>
    <row r="142" spans="51:58" ht="12.75">
      <c r="AY142" s="103" t="s">
        <v>153</v>
      </c>
      <c r="AZ142" s="103" t="s">
        <v>154</v>
      </c>
      <c r="BA142" s="103" t="s">
        <v>322</v>
      </c>
      <c r="BB142" s="10">
        <v>265654</v>
      </c>
      <c r="BE142" s="70"/>
      <c r="BF142" s="241"/>
    </row>
    <row r="143" spans="51:58" ht="12.75">
      <c r="AY143" s="103" t="s">
        <v>181</v>
      </c>
      <c r="AZ143" s="103" t="s">
        <v>182</v>
      </c>
      <c r="BA143" s="103" t="s">
        <v>322</v>
      </c>
      <c r="BB143" s="10">
        <v>284466</v>
      </c>
      <c r="BE143" s="70"/>
      <c r="BF143" s="249"/>
    </row>
    <row r="144" spans="51:58" ht="12.75">
      <c r="AY144" s="103" t="s">
        <v>146</v>
      </c>
      <c r="AZ144" s="103" t="s">
        <v>147</v>
      </c>
      <c r="BA144" s="103" t="s">
        <v>322</v>
      </c>
      <c r="BB144" s="10">
        <v>319933</v>
      </c>
      <c r="BE144" s="70"/>
      <c r="BF144" s="241"/>
    </row>
    <row r="145" spans="51:58" ht="12.75">
      <c r="AY145" s="103" t="s">
        <v>111</v>
      </c>
      <c r="AZ145" s="103" t="s">
        <v>112</v>
      </c>
      <c r="BA145" s="103" t="s">
        <v>322</v>
      </c>
      <c r="BB145" s="10">
        <v>192336</v>
      </c>
      <c r="BE145" s="248"/>
      <c r="BF145" s="249"/>
    </row>
    <row r="146" spans="51:58" ht="12.75">
      <c r="AY146" s="103" t="s">
        <v>237</v>
      </c>
      <c r="AZ146" s="103" t="s">
        <v>238</v>
      </c>
      <c r="BA146" s="103" t="s">
        <v>322</v>
      </c>
      <c r="BB146" s="10">
        <v>548313</v>
      </c>
      <c r="BF146" s="252"/>
    </row>
    <row r="147" spans="51:58" ht="12.75">
      <c r="AY147" s="103" t="s">
        <v>247</v>
      </c>
      <c r="AZ147" s="103" t="s">
        <v>248</v>
      </c>
      <c r="BA147" s="103" t="s">
        <v>322</v>
      </c>
      <c r="BB147" s="10">
        <v>287229</v>
      </c>
      <c r="BF147" s="252"/>
    </row>
    <row r="148" spans="51:58" ht="12.75">
      <c r="AY148" s="103" t="s">
        <v>222</v>
      </c>
      <c r="AZ148" s="103" t="s">
        <v>426</v>
      </c>
      <c r="BA148" s="103" t="s">
        <v>503</v>
      </c>
      <c r="BB148" s="10">
        <v>707573</v>
      </c>
      <c r="BF148" s="252"/>
    </row>
    <row r="149" spans="51:58" ht="12.75">
      <c r="AY149" s="103" t="s">
        <v>218</v>
      </c>
      <c r="AZ149" s="103" t="s">
        <v>219</v>
      </c>
      <c r="BA149" s="103" t="s">
        <v>503</v>
      </c>
      <c r="BB149" s="10">
        <v>825533</v>
      </c>
      <c r="BE149" s="248"/>
      <c r="BF149" s="249"/>
    </row>
    <row r="150" spans="51:58" ht="12.75">
      <c r="AY150" s="103" t="s">
        <v>196</v>
      </c>
      <c r="AZ150" s="103" t="s">
        <v>197</v>
      </c>
      <c r="BA150" s="103" t="s">
        <v>322</v>
      </c>
      <c r="BB150" s="10">
        <v>259945</v>
      </c>
      <c r="BF150" s="252"/>
    </row>
    <row r="151" spans="51:58" ht="12.75">
      <c r="AY151" s="103" t="s">
        <v>138</v>
      </c>
      <c r="AZ151" s="103" t="s">
        <v>139</v>
      </c>
      <c r="BA151" s="103" t="s">
        <v>322</v>
      </c>
      <c r="BB151" s="10">
        <v>246573</v>
      </c>
      <c r="BF151" s="252"/>
    </row>
    <row r="152" spans="51:58" ht="12.75">
      <c r="AY152" s="103" t="s">
        <v>266</v>
      </c>
      <c r="AZ152" s="103" t="s">
        <v>267</v>
      </c>
      <c r="BA152" s="103" t="s">
        <v>503</v>
      </c>
      <c r="BB152" s="10">
        <v>462395</v>
      </c>
      <c r="BE152" s="250"/>
      <c r="BF152" s="239"/>
    </row>
    <row r="153" spans="51:58" ht="12.75">
      <c r="AY153" s="103" t="s">
        <v>191</v>
      </c>
      <c r="AZ153" s="103" t="s">
        <v>192</v>
      </c>
      <c r="BA153" s="103" t="s">
        <v>322</v>
      </c>
      <c r="BB153" s="10">
        <v>332176</v>
      </c>
      <c r="BF153" s="252"/>
    </row>
    <row r="154" spans="51:58" ht="12.75">
      <c r="AY154" s="103" t="s">
        <v>161</v>
      </c>
      <c r="AZ154" s="103" t="s">
        <v>413</v>
      </c>
      <c r="BA154" s="103" t="s">
        <v>322</v>
      </c>
      <c r="BB154" s="10">
        <v>246213</v>
      </c>
      <c r="BE154" s="237"/>
      <c r="BF154" s="238"/>
    </row>
    <row r="155" spans="51:58" ht="12.75">
      <c r="AY155" s="103" t="s">
        <v>235</v>
      </c>
      <c r="AZ155" s="103" t="s">
        <v>236</v>
      </c>
      <c r="BA155" s="103" t="s">
        <v>503</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521</v>
      </c>
      <c r="B3" s="56" t="s">
        <v>168</v>
      </c>
      <c r="C3" s="56" t="s">
        <v>24</v>
      </c>
    </row>
    <row r="4" spans="1:2" ht="12.75">
      <c r="A4" s="76">
        <v>1</v>
      </c>
      <c r="B4" s="78" t="s">
        <v>167</v>
      </c>
    </row>
    <row r="5" ht="12.75">
      <c r="A5" s="280" t="s">
        <v>521</v>
      </c>
    </row>
    <row r="6" ht="12.75">
      <c r="A6" s="280" t="s">
        <v>542</v>
      </c>
    </row>
    <row r="7" ht="12.75">
      <c r="A7" s="280" t="s">
        <v>525</v>
      </c>
    </row>
    <row r="8" ht="12.75">
      <c r="A8" s="280" t="s">
        <v>524</v>
      </c>
    </row>
    <row r="9" ht="12.75">
      <c r="A9" s="280" t="s">
        <v>534</v>
      </c>
    </row>
    <row r="10" ht="12.75">
      <c r="A10" s="280" t="s">
        <v>509</v>
      </c>
    </row>
    <row r="11" ht="12.75">
      <c r="A11" s="280" t="s">
        <v>531</v>
      </c>
    </row>
    <row r="12" ht="12.75">
      <c r="A12" s="280" t="s">
        <v>545</v>
      </c>
    </row>
    <row r="13" ht="12.75">
      <c r="A13" s="280" t="s">
        <v>527</v>
      </c>
    </row>
    <row r="14" ht="12.75">
      <c r="A14" s="280" t="s">
        <v>533</v>
      </c>
    </row>
    <row r="15" ht="12.75">
      <c r="A15" s="280" t="s">
        <v>516</v>
      </c>
    </row>
    <row r="16" ht="12.75">
      <c r="A16" s="280" t="s">
        <v>532</v>
      </c>
    </row>
    <row r="17" ht="12.75">
      <c r="A17" s="280" t="s">
        <v>522</v>
      </c>
    </row>
    <row r="18" ht="12.75">
      <c r="A18" s="280" t="s">
        <v>526</v>
      </c>
    </row>
    <row r="19" ht="12.75">
      <c r="A19" s="280" t="s">
        <v>538</v>
      </c>
    </row>
    <row r="20" ht="12.75">
      <c r="A20" s="280" t="s">
        <v>537</v>
      </c>
    </row>
    <row r="21" ht="12.75">
      <c r="A21" s="280" t="s">
        <v>514</v>
      </c>
    </row>
    <row r="22" ht="12.75">
      <c r="A22" s="280" t="s">
        <v>517</v>
      </c>
    </row>
    <row r="23" ht="12.75">
      <c r="A23" s="280" t="s">
        <v>507</v>
      </c>
    </row>
    <row r="24" ht="12.75">
      <c r="A24" s="280" t="s">
        <v>530</v>
      </c>
    </row>
    <row r="25" ht="12.75">
      <c r="A25" s="280" t="s">
        <v>536</v>
      </c>
    </row>
    <row r="26" ht="12.75">
      <c r="A26" s="280" t="s">
        <v>513</v>
      </c>
    </row>
    <row r="27" ht="12.75">
      <c r="A27" s="280" t="s">
        <v>508</v>
      </c>
    </row>
    <row r="28" ht="12.75">
      <c r="A28" s="280" t="s">
        <v>518</v>
      </c>
    </row>
    <row r="29" ht="12.75">
      <c r="A29" s="280" t="s">
        <v>540</v>
      </c>
    </row>
    <row r="30" ht="12.75">
      <c r="A30" s="280" t="s">
        <v>544</v>
      </c>
    </row>
    <row r="31" ht="12.75">
      <c r="A31" s="280" t="s">
        <v>539</v>
      </c>
    </row>
    <row r="32" ht="12.75">
      <c r="A32" s="280" t="s">
        <v>543</v>
      </c>
    </row>
    <row r="33" ht="12.75">
      <c r="A33" s="280" t="s">
        <v>511</v>
      </c>
    </row>
    <row r="34" ht="12.75">
      <c r="A34" s="280" t="s">
        <v>515</v>
      </c>
    </row>
    <row r="35" ht="12.75">
      <c r="A35" s="280" t="s">
        <v>523</v>
      </c>
    </row>
    <row r="36" ht="12.75">
      <c r="A36" s="280" t="s">
        <v>535</v>
      </c>
    </row>
    <row r="37" ht="12.75">
      <c r="A37" s="280" t="s">
        <v>512</v>
      </c>
    </row>
    <row r="38" ht="12.75">
      <c r="A38" s="280" t="s">
        <v>519</v>
      </c>
    </row>
    <row r="39" ht="12.75">
      <c r="A39" s="280" t="s">
        <v>529</v>
      </c>
    </row>
    <row r="40" ht="12.75">
      <c r="A40" s="280" t="s">
        <v>541</v>
      </c>
    </row>
    <row r="41" ht="12.75">
      <c r="A41" s="280" t="s">
        <v>510</v>
      </c>
    </row>
    <row r="42" ht="12.75">
      <c r="A42" s="280" t="s">
        <v>528</v>
      </c>
    </row>
    <row r="43" ht="12.75">
      <c r="A43" s="280" t="s">
        <v>520</v>
      </c>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