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827"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<sst xmlns="http://schemas.openxmlformats.org/spreadsheetml/2006/main" count="1236" uniqueCount="556">
  <si>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</si>
  <si>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</si>
  <si>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</si>
  <si>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</si>
  <si>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</si>
  <si>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</si>
  <si>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</si>
  <si>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</si>
  <si>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</si>
  <si>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</si>
  <si>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</si>
  <si>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</si>
  <si>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</si>
  <si>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</si>
  <si>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</si>
  <si>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</si>
  <si>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</si>
  <si>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</si>
  <si>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</si>
  <si>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</si>
  <si>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</si>
  <si>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</si>
  <si>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</si>
  <si>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</si>
  <si>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</si>
  <si>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</si>
  <si>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</si>
  <si>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</si>
  <si>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</si>
  <si>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</si>
  <si>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</si>
  <si>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</si>
  <si>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</si>
  <si>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</si>
  <si>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</si>
  <si>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</si>
  <si>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</si>
  <si>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</si>
  <si>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</si>
  <si>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</si>
  <si>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</si>
  <si>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</si>
  <si>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</si>
  <si>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</si>
  <si>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</si>
  <si>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</si>
  <si>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</si>
  <si>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</si>
  <si>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</si>
  <si>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</si>
  <si>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</si>
  <si>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TAC</t>
  </si>
  <si>
    <t>NORTHUMBERLAND CARE TRUST</t>
  </si>
  <si>
    <t>TAK</t>
  </si>
  <si>
    <t>TAL</t>
  </si>
  <si>
    <t>TORBAY CARE TRUST</t>
  </si>
  <si>
    <t>TAM</t>
  </si>
  <si>
    <t>SOLIHULL CARE TRUST</t>
  </si>
  <si>
    <t>TAN</t>
  </si>
  <si>
    <t>NORTH EAST LINCOLNSHIRE CARE TRUST PLUS</t>
  </si>
  <si>
    <t>5A3</t>
  </si>
  <si>
    <t>SOUTH GLOUCESTERSHIRE PCT</t>
  </si>
  <si>
    <t>5A4</t>
  </si>
  <si>
    <t>HAVERING PCT</t>
  </si>
  <si>
    <t>5A5</t>
  </si>
  <si>
    <t>5A7</t>
  </si>
  <si>
    <t>BROMLEY PCT</t>
  </si>
  <si>
    <t>5A8</t>
  </si>
  <si>
    <t>5A9</t>
  </si>
  <si>
    <t>5AT</t>
  </si>
  <si>
    <t>HILLINGDON PCT</t>
  </si>
  <si>
    <t>5C1</t>
  </si>
  <si>
    <t>ENFIELD PCT</t>
  </si>
  <si>
    <t>5C2</t>
  </si>
  <si>
    <t>5C3</t>
  </si>
  <si>
    <t>5C4</t>
  </si>
  <si>
    <t>5C5</t>
  </si>
  <si>
    <t>5C9</t>
  </si>
  <si>
    <t>5CN</t>
  </si>
  <si>
    <t>5CQ</t>
  </si>
  <si>
    <t>MILTON KEYNES PCT</t>
  </si>
  <si>
    <t>5D7</t>
  </si>
  <si>
    <t>5D8</t>
  </si>
  <si>
    <t>5D9</t>
  </si>
  <si>
    <t>HARTLEPOOL PCT</t>
  </si>
  <si>
    <t>5E1</t>
  </si>
  <si>
    <t>5EF</t>
  </si>
  <si>
    <t>NORTH LINCOLNSHIRE PCT</t>
  </si>
  <si>
    <t>5EM</t>
  </si>
  <si>
    <t>NOTTINGHAM CITY PCT</t>
  </si>
  <si>
    <t>5ET</t>
  </si>
  <si>
    <t>5F1</t>
  </si>
  <si>
    <t>5F5</t>
  </si>
  <si>
    <t>SALFORD PCT</t>
  </si>
  <si>
    <t>5F7</t>
  </si>
  <si>
    <t>5FE</t>
  </si>
  <si>
    <t>5FL</t>
  </si>
  <si>
    <t>BATH AND NORTH EAST SOMERSET PCT</t>
  </si>
  <si>
    <t>5GC</t>
  </si>
  <si>
    <t>5H1</t>
  </si>
  <si>
    <t>5H8</t>
  </si>
  <si>
    <t>ROTHERHAM PCT</t>
  </si>
  <si>
    <t>5HG</t>
  </si>
  <si>
    <t>5HP</t>
  </si>
  <si>
    <t>BLACKPOOL PCT</t>
  </si>
  <si>
    <t>5HQ</t>
  </si>
  <si>
    <t>BOLTON PCT</t>
  </si>
  <si>
    <t>5HX</t>
  </si>
  <si>
    <t>EALING PCT</t>
  </si>
  <si>
    <t>5HY</t>
  </si>
  <si>
    <t>HOUNSLOW PCT</t>
  </si>
  <si>
    <t>5J2</t>
  </si>
  <si>
    <t>WARRINGTON PCT</t>
  </si>
  <si>
    <t>5J4</t>
  </si>
  <si>
    <t>5J5</t>
  </si>
  <si>
    <t>5J6</t>
  </si>
  <si>
    <t>5J9</t>
  </si>
  <si>
    <t>DARLINGTON PCT</t>
  </si>
  <si>
    <t>5JE</t>
  </si>
  <si>
    <t>BARNSLEY PCT</t>
  </si>
  <si>
    <t>5JX</t>
  </si>
  <si>
    <t>5K3</t>
  </si>
  <si>
    <t>SWINDON PCT</t>
  </si>
  <si>
    <t>5K5</t>
  </si>
  <si>
    <t>5K6</t>
  </si>
  <si>
    <t>HARROW PCT</t>
  </si>
  <si>
    <t>5K7</t>
  </si>
  <si>
    <t>5K8</t>
  </si>
  <si>
    <t>5K9</t>
  </si>
  <si>
    <t>5KF</t>
  </si>
  <si>
    <t>5KG</t>
  </si>
  <si>
    <t>5KL</t>
  </si>
  <si>
    <t>5KM</t>
  </si>
  <si>
    <t>MIDDLESBROUGH PCT</t>
  </si>
  <si>
    <t>5L1</t>
  </si>
  <si>
    <t>5L3</t>
  </si>
  <si>
    <t>5LA</t>
  </si>
  <si>
    <t>KENSINGTON AND CHELSEA PCT</t>
  </si>
  <si>
    <t>5LC</t>
  </si>
  <si>
    <t>WESTMINSTER PCT</t>
  </si>
  <si>
    <t>5LD</t>
  </si>
  <si>
    <t>LAMBETH PCT</t>
  </si>
  <si>
    <t>5LE</t>
  </si>
  <si>
    <t>SOUTHWARK PCT</t>
  </si>
  <si>
    <t>5LF</t>
  </si>
  <si>
    <t>LEWISHAM PCT</t>
  </si>
  <si>
    <t>5LG</t>
  </si>
  <si>
    <t>WANDSWORTH PCT</t>
  </si>
  <si>
    <t>5LH</t>
  </si>
  <si>
    <t>5LQ</t>
  </si>
  <si>
    <t>5M1</t>
  </si>
  <si>
    <t>SOUTH BIRMINGHAM PCT</t>
  </si>
  <si>
    <t>5M2</t>
  </si>
  <si>
    <t>5M3</t>
  </si>
  <si>
    <t>WALSALL TEACHING PCT</t>
  </si>
  <si>
    <t>5M6</t>
  </si>
  <si>
    <t>5M7</t>
  </si>
  <si>
    <t>5M8</t>
  </si>
  <si>
    <t>NORTH SOMERSET PCT</t>
  </si>
  <si>
    <t>5MD</t>
  </si>
  <si>
    <t>5MK</t>
  </si>
  <si>
    <t>5MV</t>
  </si>
  <si>
    <t>5MX</t>
  </si>
  <si>
    <t>5N1</t>
  </si>
  <si>
    <t>LEEDS PCT</t>
  </si>
  <si>
    <t>5N2</t>
  </si>
  <si>
    <t>KIRKLEES PCT</t>
  </si>
  <si>
    <t>5N3</t>
  </si>
  <si>
    <t>WAKEFIELD DISTRICT PCT</t>
  </si>
  <si>
    <t>5N4</t>
  </si>
  <si>
    <t>SHEFFIELD PCT</t>
  </si>
  <si>
    <t>5N5</t>
  </si>
  <si>
    <t>DONCASTER PCT</t>
  </si>
  <si>
    <t>5N6</t>
  </si>
  <si>
    <t>DERBYSHIRE COUNTY PCT</t>
  </si>
  <si>
    <t>5N7</t>
  </si>
  <si>
    <t>DERBY CITY PCT</t>
  </si>
  <si>
    <t>5N8</t>
  </si>
  <si>
    <t>5N9</t>
  </si>
  <si>
    <t>5NA</t>
  </si>
  <si>
    <t>REDBRIDGE PCT</t>
  </si>
  <si>
    <t>5NC</t>
  </si>
  <si>
    <t>WALTHAM FOREST PCT</t>
  </si>
  <si>
    <t>5ND</t>
  </si>
  <si>
    <t>COUNTY DURHAM PCT</t>
  </si>
  <si>
    <t>5NE</t>
  </si>
  <si>
    <t>5NF</t>
  </si>
  <si>
    <t>5NG</t>
  </si>
  <si>
    <t>5NH</t>
  </si>
  <si>
    <t>5NJ</t>
  </si>
  <si>
    <t>SEFTON PCT</t>
  </si>
  <si>
    <t>5NK</t>
  </si>
  <si>
    <t>WIRRAL PCT</t>
  </si>
  <si>
    <t>5NL</t>
  </si>
  <si>
    <t>LIVERPOOL PCT</t>
  </si>
  <si>
    <t>5NM</t>
  </si>
  <si>
    <t>5NN</t>
  </si>
  <si>
    <t>WESTERN CHESHIRE PCT</t>
  </si>
  <si>
    <t>5NP</t>
  </si>
  <si>
    <t>CENTRAL AND EASTERN CHESHIRE PCT</t>
  </si>
  <si>
    <t>5NQ</t>
  </si>
  <si>
    <t>5NR</t>
  </si>
  <si>
    <t>TRAFFORD PCT</t>
  </si>
  <si>
    <t>5NT</t>
  </si>
  <si>
    <t>MANCHESTER PCT</t>
  </si>
  <si>
    <t>5NV</t>
  </si>
  <si>
    <t>NORTH YORKSHIRE AND YORK PCT</t>
  </si>
  <si>
    <t>5NW</t>
  </si>
  <si>
    <t>EAST RIDING OF YORKSHIRE PCT</t>
  </si>
  <si>
    <t>5NX</t>
  </si>
  <si>
    <t>HULL TEACHING PCT</t>
  </si>
  <si>
    <t>5NY</t>
  </si>
  <si>
    <t>5P1</t>
  </si>
  <si>
    <t>SOUTH EAST ESSEX PCT</t>
  </si>
  <si>
    <t>5P2</t>
  </si>
  <si>
    <t>BEDFORDSHIRE PCT</t>
  </si>
  <si>
    <t>5P5</t>
  </si>
  <si>
    <t>SURREY PCT</t>
  </si>
  <si>
    <t>5P6</t>
  </si>
  <si>
    <t>WEST SUSSEX PCT</t>
  </si>
  <si>
    <t>5P7</t>
  </si>
  <si>
    <t>5P8</t>
  </si>
  <si>
    <t>5P9</t>
  </si>
  <si>
    <t>5PA</t>
  </si>
  <si>
    <t>5PC</t>
  </si>
  <si>
    <t>LEICESTER CITY PCT</t>
  </si>
  <si>
    <t>5PD</t>
  </si>
  <si>
    <t>5PE</t>
  </si>
  <si>
    <t>5PF</t>
  </si>
  <si>
    <t>5PG</t>
  </si>
  <si>
    <t>BIRMINGHAM EAST AND NORTH PCT</t>
  </si>
  <si>
    <t>5PH</t>
  </si>
  <si>
    <t>NORTH STAFFORDSHIRE PCT</t>
  </si>
  <si>
    <t>5PJ</t>
  </si>
  <si>
    <t>5PK</t>
  </si>
  <si>
    <t>5PL</t>
  </si>
  <si>
    <t>WORCESTERSHIRE PCT</t>
  </si>
  <si>
    <t>5PM</t>
  </si>
  <si>
    <t>WARWICKSHIRE PCT</t>
  </si>
  <si>
    <t>5PN</t>
  </si>
  <si>
    <t>PETERBOROUGH PCT</t>
  </si>
  <si>
    <t>5PP</t>
  </si>
  <si>
    <t>CAMBRIDGESHIRE PCT</t>
  </si>
  <si>
    <t>5PQ</t>
  </si>
  <si>
    <t>5PR</t>
  </si>
  <si>
    <t>5PT</t>
  </si>
  <si>
    <t>SUFFOLK PCT</t>
  </si>
  <si>
    <t>5PV</t>
  </si>
  <si>
    <t>WEST ESSEX PCT</t>
  </si>
  <si>
    <t>5PW</t>
  </si>
  <si>
    <t>NORTH EAST ESSEX PCT</t>
  </si>
  <si>
    <t>5PX</t>
  </si>
  <si>
    <t>MID ESSEX PCT</t>
  </si>
  <si>
    <t>5PY</t>
  </si>
  <si>
    <t>SOUTH WEST ESSEX PCT</t>
  </si>
  <si>
    <t>5QA</t>
  </si>
  <si>
    <t>5QC</t>
  </si>
  <si>
    <t>5QD</t>
  </si>
  <si>
    <t>BUCKINGHAMSHIRE PCT</t>
  </si>
  <si>
    <t>5QE</t>
  </si>
  <si>
    <t>5QF</t>
  </si>
  <si>
    <t>5QG</t>
  </si>
  <si>
    <t>5QH</t>
  </si>
  <si>
    <t>GLOUCESTERSHIRE PCT</t>
  </si>
  <si>
    <t>5QJ</t>
  </si>
  <si>
    <t>BRISTOL PCT</t>
  </si>
  <si>
    <t>5QK</t>
  </si>
  <si>
    <t>WILTSHIRE PCT</t>
  </si>
  <si>
    <t>5QL</t>
  </si>
  <si>
    <t>5QM</t>
  </si>
  <si>
    <t>5QN</t>
  </si>
  <si>
    <t>5QP</t>
  </si>
  <si>
    <t>5QQ</t>
  </si>
  <si>
    <t>5QR</t>
  </si>
  <si>
    <t>REDCAR AND CLEVELAND PCT</t>
  </si>
  <si>
    <t>5QT</t>
  </si>
  <si>
    <t>Name</t>
  </si>
  <si>
    <t>Code</t>
  </si>
  <si>
    <t>High</t>
  </si>
  <si>
    <t>Low</t>
  </si>
  <si>
    <t>Lowest</t>
  </si>
  <si>
    <t>Highest</t>
  </si>
  <si>
    <t>N81001</t>
  </si>
  <si>
    <t>N81005</t>
  </si>
  <si>
    <t>N81006</t>
  </si>
  <si>
    <t>N81009</t>
  </si>
  <si>
    <t>N81017</t>
  </si>
  <si>
    <t>N81018</t>
  </si>
  <si>
    <t>N81023</t>
  </si>
  <si>
    <t>N81030</t>
  </si>
  <si>
    <t>N81031</t>
  </si>
  <si>
    <t>N81034</t>
  </si>
  <si>
    <t>N81038</t>
  </si>
  <si>
    <t>N81046</t>
  </si>
  <si>
    <t>N81050</t>
  </si>
  <si>
    <t>N81060</t>
  </si>
  <si>
    <t>N81063</t>
  </si>
  <si>
    <t>N81079</t>
  </si>
  <si>
    <t>N81080</t>
  </si>
  <si>
    <t>N81081</t>
  </si>
  <si>
    <t>N81082</t>
  </si>
  <si>
    <t>N81091</t>
  </si>
  <si>
    <t>N81092</t>
  </si>
  <si>
    <t>N81093</t>
  </si>
  <si>
    <t>N81094</t>
  </si>
  <si>
    <t>N81095</t>
  </si>
  <si>
    <t>N81100</t>
  </si>
  <si>
    <t>N81101</t>
  </si>
  <si>
    <t>N81102</t>
  </si>
  <si>
    <t>N81104</t>
  </si>
  <si>
    <t>N81115</t>
  </si>
  <si>
    <t>N81117</t>
  </si>
  <si>
    <t>N81120</t>
  </si>
  <si>
    <t>N81121</t>
  </si>
  <si>
    <t>N81125</t>
  </si>
  <si>
    <t>N81126</t>
  </si>
  <si>
    <t>N81607</t>
  </si>
  <si>
    <t>N81614</t>
  </si>
  <si>
    <t>N81624</t>
  </si>
  <si>
    <t>N81626</t>
  </si>
  <si>
    <t>5CC</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</si>
  <si>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</si>
  <si>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</si>
  <si>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</si>
  <si>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</si>
  <si>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</si>
  <si>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</si>
  <si>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</si>
  <si>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</si>
  <si>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</si>
  <si>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PCT mean</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</si>
  <si>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</si>
  <si>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</si>
  <si>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</si>
  <si>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</si>
  <si>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</si>
  <si>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</si>
  <si>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</si>
  <si>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</si>
  <si>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</si>
  <si>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BLACKBURN WITH DARWEN PCT</t>
  </si>
  <si>
    <t>Quintile 4</t>
  </si>
  <si>
    <t>Quintile 5</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</si>
  <si>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</si>
  <si>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</si>
  <si>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</si>
  <si>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</si>
  <si>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</si>
  <si>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</si>
  <si>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</si>
  <si>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</si>
  <si>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</si>
  <si>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</si>
  <si>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</si>
  <si>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</si>
  <si>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</si>
  <si>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</si>
  <si>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</si>
  <si>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</si>
  <si>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</si>
  <si>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</si>
  <si>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</si>
  <si>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</si>
  <si>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</si>
  <si>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</si>
  <si>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</si>
  <si>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</si>
  <si>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</si>
  <si>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</si>
  <si>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</si>
  <si>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</si>
  <si>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</si>
  <si>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</si>
  <si>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KINGSTON PCT</t>
  </si>
  <si>
    <t>GREENWICH TEACHING PCT</t>
  </si>
  <si>
    <t>BARNET PCT</t>
  </si>
  <si>
    <t>BARKING AND DAGENHAM PCT</t>
  </si>
  <si>
    <t>CITY AND HACKNEY TEACHING PCT</t>
  </si>
  <si>
    <t>TOWER HAMLETS PCT</t>
  </si>
  <si>
    <t>NEWHAM PCT</t>
  </si>
  <si>
    <t>HARINGEY TEACHING PCT</t>
  </si>
  <si>
    <t>HEREFORDSHIRE PCT</t>
  </si>
  <si>
    <t>NEWCASTLE PCT</t>
  </si>
  <si>
    <t>NORTH TYNESIDE PCT</t>
  </si>
  <si>
    <t>STOCKTON-ON-TEES TEACHING PCT</t>
  </si>
  <si>
    <t>BASSETLAW PCT</t>
  </si>
  <si>
    <t>PLYMOUTH TEACHING PCT</t>
  </si>
  <si>
    <t>STOCKPORT PCT</t>
  </si>
  <si>
    <t>PORTSMOUTH CITY TEACHING PCT</t>
  </si>
  <si>
    <t>LUTON PCT</t>
  </si>
  <si>
    <t>HAMMERSMITH AND FULHAM PCT</t>
  </si>
  <si>
    <t>ASHTON, LEIGH AND WIGAN PCT</t>
  </si>
  <si>
    <t>KNOWSLEY PCT</t>
  </si>
  <si>
    <t>OLDHAM PCT</t>
  </si>
  <si>
    <t>CALDERDALE PCT</t>
  </si>
  <si>
    <t>BURY PCT</t>
  </si>
  <si>
    <t>BRENT TEACHING PCT</t>
  </si>
  <si>
    <t>CAMDEN PCT</t>
  </si>
  <si>
    <t>ISLINGTON PCT</t>
  </si>
  <si>
    <t>CROYDON PCT</t>
  </si>
  <si>
    <t>GATESHEAD PCT</t>
  </si>
  <si>
    <t>SOUTH TYNESIDE PCT</t>
  </si>
  <si>
    <t>SUNDERLAND TEACHING PCT</t>
  </si>
  <si>
    <t>SOUTHAMPTON CITY PCT</t>
  </si>
  <si>
    <t>MEDWAY PCT</t>
  </si>
  <si>
    <t>TAMESIDE AND GLOSSOP PCT</t>
  </si>
  <si>
    <t>BRIGHTON AND HOVE CITY PCT</t>
  </si>
  <si>
    <t>SHROPSHIRE COUNTY PCT</t>
  </si>
  <si>
    <t>RICHMOND AND TWICKENHAM PCT</t>
  </si>
  <si>
    <t>SUTTON AND MERTON PCT</t>
  </si>
  <si>
    <t>COVENTRY TEACHING PCT</t>
  </si>
  <si>
    <t>TELFORD AND WREKIN PCT</t>
  </si>
  <si>
    <t>WOLVERHAMPTON CITY PCT</t>
  </si>
  <si>
    <t>HEART OF BIRMINGHAM TEACHING PCT</t>
  </si>
  <si>
    <t>NOTTINGHAMSHIRE COUNTY TEACHING PCT</t>
  </si>
  <si>
    <t>LINCOLNSHIRE TEACHING PCT</t>
  </si>
  <si>
    <t>CUMBRIA TEACHING PCT</t>
  </si>
  <si>
    <t>NORTH LANCASHIRE TEACHING PCT</t>
  </si>
  <si>
    <t>CENTRAL LANCASHIRE PCT</t>
  </si>
  <si>
    <t>EAST LANCASHIRE TEACHING PCT</t>
  </si>
  <si>
    <t>HALTON AND ST HELENS PCT</t>
  </si>
  <si>
    <t>HEYWOOD, MIDDLETON AND ROCHDALE PCT</t>
  </si>
  <si>
    <t>BRADFORD AND AIREDALE TEACHING PCT</t>
  </si>
  <si>
    <t>EAST SUSSEX DOWNS AND WEALD PCT</t>
  </si>
  <si>
    <t>HASTINGS AND ROTHER PCT</t>
  </si>
  <si>
    <t>WEST KENT PCT</t>
  </si>
  <si>
    <t>LEICESTERSHIRE COUNTY AND RUTLAND PCT</t>
  </si>
  <si>
    <t>NORTHAMPTONSHIRE TEACHING PCT</t>
  </si>
  <si>
    <t>DUDLEY PCT</t>
  </si>
  <si>
    <t>SANDWELL PCT</t>
  </si>
  <si>
    <t>STOKE ON TRENT PCT</t>
  </si>
  <si>
    <t>SOUTH STAFFORDSHIRE PCT</t>
  </si>
  <si>
    <t>NORFOLK PCT</t>
  </si>
  <si>
    <t>GREAT YARMOUTH AND WAVENEY PCT</t>
  </si>
  <si>
    <t>EASTERN AND COASTAL KENT PCT</t>
  </si>
  <si>
    <t>HAMPSHIRE PCT</t>
  </si>
  <si>
    <t>OXFORDSHIRE PCT</t>
  </si>
  <si>
    <t>BERKSHIRE WEST PCT</t>
  </si>
  <si>
    <t>BERKSHIRE EAST PCT</t>
  </si>
  <si>
    <t>SOMERSET PCT</t>
  </si>
  <si>
    <t>DORSET PCT</t>
  </si>
  <si>
    <t>BOURNEMOUTH AND POOLE TEACHING PCT</t>
  </si>
  <si>
    <t>CORNWALL AND ISLES OF SCILLY PCT</t>
  </si>
  <si>
    <t>DEVON PCT</t>
  </si>
  <si>
    <t>ISLE OF WIGHT NHS PCT</t>
  </si>
  <si>
    <t>BEXLEY CARE TRUST</t>
  </si>
  <si>
    <t>Practice indicator value</t>
  </si>
  <si>
    <t>Practice indicator rate or proportion</t>
  </si>
  <si>
    <t>Indicator (Rate or Proportion in brackets)</t>
  </si>
  <si>
    <t>NCIN/UKACR</t>
  </si>
  <si>
    <t>PCT CODE</t>
  </si>
  <si>
    <t>PCT NAME</t>
  </si>
  <si>
    <t>WARNING</t>
  </si>
  <si>
    <t>PCT numerator</t>
  </si>
  <si>
    <t>PCT denominator</t>
  </si>
  <si>
    <t>PCT Lower limit</t>
  </si>
  <si>
    <t>PCT Upper limit</t>
  </si>
  <si>
    <t>Socio-economic deprivation quintile (or no. persons deprived for PCT and England)</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</si>
  <si>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</si>
  <si>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</si>
  <si>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</si>
  <si>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</si>
  <si>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</si>
  <si>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</si>
  <si>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</si>
  <si>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</si>
  <si>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</si>
  <si>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Practice rates or proportion in PCT</t>
  </si>
  <si>
    <t>Lowest practice</t>
  </si>
  <si>
    <t>Highest practice</t>
  </si>
  <si>
    <t>PCT population (all practices):</t>
  </si>
  <si>
    <t>Cancer deaths (Crude mortality rate: deaths per 100,000 population)</t>
  </si>
  <si>
    <t>QOF</t>
  </si>
  <si>
    <t>Number of new cancer cases treated (% of which are TWW referrals)</t>
  </si>
  <si>
    <t>Practice Population (or summed practice populations for PCT and England)</t>
  </si>
  <si>
    <t>Practice is signifcantly different from PCT mean</t>
  </si>
  <si>
    <t>Practice is not signficantly different than PCT mean</t>
  </si>
  <si>
    <t>Statistical significance can not be assessed</t>
  </si>
  <si>
    <t>Highest in PCT</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</si>
  <si>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</si>
  <si>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</si>
  <si>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</si>
  <si>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</si>
  <si>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</si>
  <si>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</si>
  <si>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Lowest
in PCT</t>
  </si>
  <si>
    <t>TWW ASR Lower Confidence Interval</t>
  </si>
  <si>
    <t>TWW ASR Upper Confidence Interval</t>
  </si>
  <si>
    <t>Two-week wait referrals - age standardised</t>
  </si>
  <si>
    <t>Confidence Intervals &amp; Denominators</t>
  </si>
  <si>
    <t>Two-week wait referrals (Indirectly age standardised referral ratio)</t>
  </si>
  <si>
    <t>5QV</t>
  </si>
  <si>
    <t>HERTFORDSHIRE PCT</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</si>
  <si>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</si>
  <si>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</si>
  <si>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</si>
  <si>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</si>
  <si>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</si>
  <si>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</si>
  <si>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</si>
  <si>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</si>
  <si>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12 months of data.</t>
  </si>
  <si>
    <t>Please note: Bowel screening indicators are based on less than 30 but over 12 months of data.</t>
  </si>
  <si>
    <t>2010/11</t>
  </si>
  <si>
    <t>2008/09-2010/11</t>
  </si>
  <si>
    <t>2005/06-2010/11</t>
  </si>
  <si>
    <t>(N81001) AUDLEM MEDICAL PRACTICE</t>
  </si>
  <si>
    <t>(N81005) HELSBY HEALTH CENTRE</t>
  </si>
  <si>
    <t>(N81006) BUNBURY MEDICAL PRACTICE</t>
  </si>
  <si>
    <t>(N81009) HEATH LANE MEDICAL CENTRE</t>
  </si>
  <si>
    <t>(N81017) THE ROCK SURGERY</t>
  </si>
  <si>
    <t>(N81018) TARPORLEY HEALTH CENTRE</t>
  </si>
  <si>
    <t>(N81023) WHITBY GROUP PRACTICE SURGERY  (GREEN)</t>
  </si>
  <si>
    <t>(N81030) THE KNOLL</t>
  </si>
  <si>
    <t>(N81031) THE HEALTH CENTRE</t>
  </si>
  <si>
    <t>(N81034) BOUGHTON MEDICAL GROUP</t>
  </si>
  <si>
    <t>(N81038) LAUREL BANK SURGERY</t>
  </si>
  <si>
    <t>(N81046) PARK MEDICAL CENTRE</t>
  </si>
  <si>
    <t>(N81050) THE GREAT SUTTON MEDICAL CENTRE (GREEN)</t>
  </si>
  <si>
    <t>(N81060) NESTON SURGERY</t>
  </si>
  <si>
    <t>(N81063) YORK ROAD GROUP PRACTICE</t>
  </si>
  <si>
    <t>(N81079) THE ELMS MEDICAL CENTRE</t>
  </si>
  <si>
    <t>(N81080) NORTHGATE STREET MEDICAL CENTRE</t>
  </si>
  <si>
    <t>(N81081) GARDEN LANE MEDICAL CENTRE</t>
  </si>
  <si>
    <t>(N81091) WHITBY GROUP PRACTICE SURGERY  (BLACK)</t>
  </si>
  <si>
    <t>(N81092) HOPE FARM MEDCIAL CENTRE</t>
  </si>
  <si>
    <t>(N81093) WHITBY GROUP PRACTICE SURGERY  (RED)</t>
  </si>
  <si>
    <t>(N81094) THE GREAT SUTTON MEDICAL CENTRE (RED)</t>
  </si>
  <si>
    <t>(N81095) THE GREAT SUTTON MEDICAL CENTRE (BLUE)</t>
  </si>
  <si>
    <t>(N81100) UPTON VILLAGE SURGERY</t>
  </si>
  <si>
    <t>(N81101) THE HANDBRIDGE MEDICAL CENTRE</t>
  </si>
  <si>
    <t>(N81102) HOOLE ROAD SURGERY</t>
  </si>
  <si>
    <t>(N81104) THE WILLASTON SURGERY</t>
  </si>
  <si>
    <t>(N81115) LACHE HEALTH CENTRE</t>
  </si>
  <si>
    <t>(N81117) OLD HALL SURGERY</t>
  </si>
  <si>
    <t>(N81120) KELSALL MEDICAL CENTRE</t>
  </si>
  <si>
    <t>(N81121) NORTHGATE VILLAGE SURGERY</t>
  </si>
  <si>
    <t>(N81125) NESTON MEDICAL CENTRE</t>
  </si>
  <si>
    <t>(N81126) FARNDON HEALTH CENTRE</t>
  </si>
  <si>
    <t>(N81607) WESTMINSTER SURGERY</t>
  </si>
  <si>
    <t>(N81614) THE SURGERY</t>
  </si>
  <si>
    <t>(N81624) THE ROOKERY SURGERY</t>
  </si>
  <si>
    <t>(N81626) WESTERN AVE MEDICAL CENTRE</t>
  </si>
  <si>
    <t>ADS</t>
  </si>
  <si>
    <t>April 2010</t>
  </si>
  <si>
    <t>Practice population (2010/11):</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</si>
  <si>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PCT data are based on aggregated practice data and may not be comparable to other sources - see data definitions document.</t>
  </si>
  <si>
    <t>Version 2.2, July 2012.</t>
  </si>
  <si>
    <t xml:space="preserve"> n/a</t>
  </si>
  <si>
    <t>PCT median</t>
  </si>
  <si>
    <t xml:space="preserve"> Removed</t>
  </si>
  <si>
    <r>
      <t xml:space="preserve">If you have any questions or comments about any GP Practice Profile, you can email us at </t>
    </r>
    <r>
      <rPr>
        <u val="single"/>
        <sz val="14"/>
        <color indexed="40"/>
        <rFont val="Arial"/>
        <family val="2"/>
      </rPr>
      <t>gp.profiles@ncin.org.uk</t>
    </r>
    <r>
      <rPr>
        <sz val="14"/>
        <rFont val="Arial"/>
        <family val="2"/>
      </rPr>
      <t xml:space="preserve">
</t>
    </r>
  </si>
  <si>
    <t>Statistical signifcance key</t>
  </si>
  <si>
    <t>(N81082) DR KN KINI + PARTNERS</t>
  </si>
  <si>
    <t>Upper scale</t>
  </si>
  <si>
    <t>Lower scale</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</si>
</sst>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 numFmtId="168" formatCode="_(* #,##0_);_(* \(#,##0\);_(* &quot;-&quot;??_);_(@_)"/>
  </numFmts>
  <fonts count="75">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u val="single"/>
      <sz val="14"/>
      <color indexed="4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right style="thin">
        <color theme="1" tint="0.49998000264167786"/>
      </right>
      <top style="medium"/>
      <bottom style="thin">
        <color theme="1" tint="0.49998000264167786"/>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medium"/>
      <bottom style="thin">
        <color theme="1" tint="0.49998000264167786"/>
      </botto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style="thin">
        <color indexed="55"/>
      </left>
      <right style="medium"/>
      <top style="thin">
        <color indexed="55"/>
      </top>
      <bottom/>
    </border>
    <border>
      <left style="thin">
        <color indexed="55"/>
      </left>
      <right style="medium"/>
      <top style="thin">
        <color theme="1" tint="0.49998000264167786"/>
      </top>
      <bottom style="thin">
        <color theme="1" tint="0.49998000264167786"/>
      </bottom>
    </border>
    <border>
      <left style="thin">
        <color indexed="55"/>
      </left>
      <right style="medium"/>
      <top/>
      <bottom style="medium"/>
    </border>
    <border>
      <left style="medium"/>
      <right style="thin">
        <color theme="1" tint="0.49998000264167786"/>
      </right>
      <top style="medium"/>
      <bottom/>
    </border>
    <border>
      <left style="medium"/>
      <right/>
      <top style="medium"/>
      <bottom/>
    </border>
    <border>
      <left style="thin">
        <color theme="1" tint="0.49998000264167786"/>
      </left>
      <right/>
      <top style="medium"/>
      <bottom style="thin"/>
    </border>
    <border>
      <left/>
      <right style="medium"/>
      <top style="medium"/>
      <bottom/>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4"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343">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3" fontId="3" fillId="0" borderId="0" xfId="0" applyNumberFormat="1" applyFont="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7"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68" fillId="0" borderId="0" xfId="0" applyFont="1" applyAlignment="1">
      <alignment horizontal="left" readingOrder="1"/>
    </xf>
    <xf numFmtId="0" fontId="68" fillId="0" borderId="0" xfId="0" applyFont="1" applyAlignment="1">
      <alignment/>
    </xf>
    <xf numFmtId="0" fontId="69" fillId="0" borderId="0" xfId="0" applyFont="1" applyAlignment="1">
      <alignment vertical="center" wrapText="1" readingOrder="1"/>
    </xf>
    <xf numFmtId="0" fontId="69"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0"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65" fontId="13" fillId="40" borderId="80" xfId="59" applyNumberFormat="1" applyFont="1" applyFill="1" applyBorder="1" applyAlignment="1">
      <alignment horizontal="righ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1"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2"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3"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65" fontId="13" fillId="40" borderId="88" xfId="59" applyNumberFormat="1" applyFont="1" applyFill="1" applyBorder="1" applyAlignment="1">
      <alignment horizontal="right" vertical="center"/>
    </xf>
    <xf numFmtId="1" fontId="13" fillId="40" borderId="88" xfId="0" applyNumberFormat="1" applyFont="1" applyFill="1" applyBorder="1" applyAlignment="1">
      <alignment horizontal="right" vertical="center"/>
    </xf>
    <xf numFmtId="165" fontId="13" fillId="40" borderId="89" xfId="59" applyNumberFormat="1" applyFont="1" applyFill="1" applyBorder="1" applyAlignment="1">
      <alignment horizontal="right" vertical="center"/>
    </xf>
    <xf numFmtId="1" fontId="13" fillId="40" borderId="89"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90" xfId="0" applyFont="1" applyFill="1" applyBorder="1" applyAlignment="1">
      <alignment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6" xfId="0" applyFont="1" applyBorder="1" applyAlignment="1">
      <alignment horizontal="center" vertical="center"/>
    </xf>
    <xf numFmtId="0" fontId="10" fillId="0" borderId="91"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1" fillId="42" borderId="92" xfId="0" applyFont="1" applyFill="1" applyBorder="1" applyAlignment="1">
      <alignment horizontal="center" vertical="center" wrapText="1"/>
    </xf>
    <xf numFmtId="0" fontId="71" fillId="42" borderId="93" xfId="0" applyFont="1" applyFill="1" applyBorder="1" applyAlignment="1">
      <alignment horizontal="center" vertical="center" wrapText="1"/>
    </xf>
    <xf numFmtId="0" fontId="71" fillId="42" borderId="94" xfId="0" applyFont="1" applyFill="1" applyBorder="1" applyAlignment="1">
      <alignment horizontal="center" vertical="center" wrapText="1"/>
    </xf>
    <xf numFmtId="0" fontId="71" fillId="42" borderId="95"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6" xfId="0" applyFont="1" applyFill="1" applyBorder="1" applyAlignment="1">
      <alignment horizontal="center" vertical="center" wrapText="1"/>
    </xf>
    <xf numFmtId="0" fontId="16" fillId="43" borderId="94" xfId="0" applyFont="1" applyFill="1" applyBorder="1" applyAlignment="1">
      <alignment horizontal="center" vertical="center" wrapText="1"/>
    </xf>
    <xf numFmtId="0" fontId="15" fillId="44" borderId="97" xfId="0" applyFont="1" applyFill="1" applyBorder="1" applyAlignment="1">
      <alignment horizontal="center" vertical="center" wrapText="1"/>
    </xf>
    <xf numFmtId="0" fontId="17" fillId="43" borderId="97" xfId="0" applyFont="1" applyFill="1" applyBorder="1" applyAlignment="1">
      <alignment horizontal="center" vertical="center"/>
    </xf>
    <xf numFmtId="0" fontId="17" fillId="43" borderId="93" xfId="0" applyFont="1" applyFill="1" applyBorder="1" applyAlignment="1">
      <alignment horizontal="center" vertical="center"/>
    </xf>
    <xf numFmtId="0" fontId="0" fillId="43" borderId="98" xfId="0" applyFont="1" applyFill="1" applyBorder="1" applyAlignment="1">
      <alignment horizontal="center" vertical="center" wrapText="1"/>
    </xf>
    <xf numFmtId="0" fontId="0" fillId="44" borderId="99" xfId="0" applyFont="1" applyFill="1" applyBorder="1" applyAlignment="1">
      <alignment horizontal="center" vertical="center" wrapText="1"/>
    </xf>
    <xf numFmtId="0" fontId="72" fillId="42" borderId="99" xfId="0" applyFont="1" applyFill="1" applyBorder="1" applyAlignment="1">
      <alignment horizontal="center" vertical="center" wrapText="1"/>
    </xf>
    <xf numFmtId="9" fontId="72" fillId="42" borderId="99" xfId="59" applyFont="1" applyFill="1" applyBorder="1" applyAlignment="1">
      <alignment horizontal="center" vertical="center" wrapText="1"/>
    </xf>
    <xf numFmtId="0" fontId="72" fillId="42" borderId="100" xfId="0" applyFont="1" applyFill="1" applyBorder="1" applyAlignment="1">
      <alignment horizontal="center" vertical="center" wrapText="1"/>
    </xf>
    <xf numFmtId="0" fontId="72" fillId="42" borderId="101" xfId="0" applyFont="1" applyFill="1" applyBorder="1" applyAlignment="1">
      <alignment horizontal="center" vertical="center" wrapText="1"/>
    </xf>
    <xf numFmtId="0" fontId="72" fillId="42" borderId="102"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3" xfId="0" applyFont="1" applyFill="1" applyBorder="1" applyAlignment="1">
      <alignment horizontal="center" vertical="center" wrapText="1"/>
    </xf>
    <xf numFmtId="0" fontId="0" fillId="43" borderId="104" xfId="0" applyFont="1" applyFill="1" applyBorder="1" applyAlignment="1">
      <alignment horizontal="center" vertical="center" wrapText="1"/>
    </xf>
    <xf numFmtId="0" fontId="0" fillId="43" borderId="105"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3"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165" fontId="13" fillId="40" borderId="106" xfId="59" applyNumberFormat="1" applyFont="1" applyFill="1" applyBorder="1" applyAlignment="1">
      <alignment horizontal="right" vertical="center"/>
    </xf>
    <xf numFmtId="165" fontId="13" fillId="40" borderId="107" xfId="59" applyNumberFormat="1" applyFont="1" applyFill="1" applyBorder="1" applyAlignment="1">
      <alignment horizontal="right" vertical="center"/>
    </xf>
    <xf numFmtId="165" fontId="13" fillId="40" borderId="108" xfId="59" applyNumberFormat="1" applyFont="1" applyFill="1" applyBorder="1" applyAlignment="1">
      <alignment horizontal="right" vertical="center"/>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10" fillId="40" borderId="0" xfId="52" applyFont="1" applyFill="1" applyAlignment="1" applyProtection="1">
      <alignment horizontal="left" vertical="top" wrapText="1"/>
      <protection/>
    </xf>
    <xf numFmtId="0" fontId="17" fillId="0" borderId="109" xfId="0" applyFont="1" applyFill="1" applyBorder="1" applyAlignment="1">
      <alignment horizontal="center" vertical="center" textRotation="90" wrapText="1"/>
    </xf>
    <xf numFmtId="0" fontId="17" fillId="0" borderId="90"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91" xfId="0" applyFont="1" applyFill="1" applyBorder="1" applyAlignment="1">
      <alignment horizontal="center" vertical="center" textRotation="90" wrapText="1"/>
    </xf>
    <xf numFmtId="0" fontId="17" fillId="0" borderId="110"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74" fillId="40" borderId="0" xfId="0" applyFont="1" applyFill="1" applyBorder="1" applyAlignment="1">
      <alignment horizontal="center" vertical="center" wrapText="1"/>
    </xf>
    <xf numFmtId="0" fontId="74" fillId="40" borderId="28" xfId="0" applyFont="1" applyFill="1" applyBorder="1" applyAlignment="1">
      <alignment horizontal="center" vertical="center" wrapText="1"/>
    </xf>
    <xf numFmtId="1" fontId="10" fillId="0" borderId="111"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69" fillId="0" borderId="0" xfId="0" applyFont="1" applyAlignment="1">
      <alignment horizontal="center" vertical="center" wrapText="1" readingOrder="1"/>
    </xf>
    <xf numFmtId="0" fontId="11" fillId="40" borderId="0" xfId="0" applyFont="1" applyFill="1" applyBorder="1" applyAlignment="1">
      <alignment horizontal="left" vertical="center" wrapText="1"/>
    </xf>
    <xf numFmtId="0" fontId="15" fillId="43" borderId="94" xfId="0" applyFont="1" applyFill="1" applyBorder="1" applyAlignment="1">
      <alignment horizontal="center" vertical="center" wrapText="1"/>
    </xf>
    <xf numFmtId="0" fontId="15" fillId="43" borderId="92" xfId="0" applyFont="1" applyFill="1" applyBorder="1" applyAlignment="1">
      <alignment horizontal="center" vertical="center" wrapText="1"/>
    </xf>
    <xf numFmtId="0" fontId="15" fillId="43" borderId="95"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42" borderId="110" xfId="0" applyFont="1" applyFill="1" applyBorder="1" applyAlignment="1">
      <alignment horizontal="center" vertical="center"/>
    </xf>
    <xf numFmtId="0" fontId="71" fillId="42" borderId="64" xfId="0" applyFont="1" applyFill="1" applyBorder="1" applyAlignment="1">
      <alignment horizontal="center" vertical="center"/>
    </xf>
    <xf numFmtId="0" fontId="71" fillId="42" borderId="112" xfId="0" applyFont="1" applyFill="1" applyBorder="1" applyAlignment="1">
      <alignment horizontal="center" vertical="center"/>
    </xf>
    <xf numFmtId="0" fontId="71" fillId="42" borderId="92" xfId="0" applyFont="1" applyFill="1" applyBorder="1" applyAlignment="1">
      <alignment horizontal="center" vertical="center" wrapText="1"/>
    </xf>
    <xf numFmtId="0" fontId="0" fillId="44" borderId="96" xfId="0" applyFill="1" applyBorder="1" applyAlignment="1">
      <alignment horizontal="center"/>
    </xf>
    <xf numFmtId="0" fontId="0" fillId="44" borderId="113" xfId="0" applyFill="1" applyBorder="1" applyAlignment="1">
      <alignment horizontal="center"/>
    </xf>
    <xf numFmtId="0" fontId="0" fillId="44" borderId="114" xfId="0" applyFill="1" applyBorder="1" applyAlignment="1">
      <alignment horizontal="center"/>
    </xf>
    <xf numFmtId="0" fontId="72" fillId="42" borderId="96" xfId="0" applyFont="1" applyFill="1" applyBorder="1" applyAlignment="1">
      <alignment horizontal="center"/>
    </xf>
    <xf numFmtId="0" fontId="72" fillId="42" borderId="113" xfId="0" applyFont="1" applyFill="1" applyBorder="1" applyAlignment="1">
      <alignment horizontal="center"/>
    </xf>
    <xf numFmtId="0" fontId="0" fillId="45" borderId="96" xfId="0" applyFont="1" applyFill="1" applyBorder="1" applyAlignment="1">
      <alignment horizontal="center"/>
    </xf>
    <xf numFmtId="0" fontId="0" fillId="45" borderId="113" xfId="0" applyFont="1" applyFill="1" applyBorder="1" applyAlignment="1">
      <alignment horizontal="center"/>
    </xf>
    <xf numFmtId="0" fontId="0" fillId="45" borderId="114"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0.8957375810697759</c:v>
                </c:pt>
                <c:pt idx="3">
                  <c:v>1</c:v>
                </c:pt>
                <c:pt idx="4">
                  <c:v>0.73318499597292</c:v>
                </c:pt>
                <c:pt idx="5">
                  <c:v>1</c:v>
                </c:pt>
                <c:pt idx="6">
                  <c:v>0.9473684158929501</c:v>
                </c:pt>
                <c:pt idx="7">
                  <c:v>0.8577287430017816</c:v>
                </c:pt>
                <c:pt idx="8">
                  <c:v>0.6508273430835866</c:v>
                </c:pt>
                <c:pt idx="9">
                  <c:v>1</c:v>
                </c:pt>
                <c:pt idx="10">
                  <c:v>0.7150105502149351</c:v>
                </c:pt>
                <c:pt idx="11">
                  <c:v>0.7226763462575662</c:v>
                </c:pt>
                <c:pt idx="12">
                  <c:v>1</c:v>
                </c:pt>
                <c:pt idx="13">
                  <c:v>0</c:v>
                </c:pt>
                <c:pt idx="14">
                  <c:v>1</c:v>
                </c:pt>
                <c:pt idx="15">
                  <c:v>0.783996471412714</c:v>
                </c:pt>
                <c:pt idx="16">
                  <c:v>1</c:v>
                </c:pt>
                <c:pt idx="17">
                  <c:v>1</c:v>
                </c:pt>
                <c:pt idx="18">
                  <c:v>1</c:v>
                </c:pt>
                <c:pt idx="19">
                  <c:v>1</c:v>
                </c:pt>
                <c:pt idx="20">
                  <c:v>1</c:v>
                </c:pt>
                <c:pt idx="21">
                  <c:v>1</c:v>
                </c:pt>
                <c:pt idx="22">
                  <c:v>1</c:v>
                </c:pt>
                <c:pt idx="23">
                  <c:v>0.8846630071736267</c:v>
                </c:pt>
                <c:pt idx="24">
                  <c:v>0</c:v>
                </c:pt>
                <c:pt idx="25">
                  <c:v>0</c:v>
                </c:pt>
                <c:pt idx="26">
                  <c:v>0</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0.6569004060959099</c:v>
                </c:pt>
                <c:pt idx="3">
                  <c:v>0.5937499970896172</c:v>
                </c:pt>
                <c:pt idx="4">
                  <c:v>0.6011650204931646</c:v>
                </c:pt>
                <c:pt idx="5">
                  <c:v>0.6006595732201703</c:v>
                </c:pt>
                <c:pt idx="6">
                  <c:v>0.6315789112506505</c:v>
                </c:pt>
                <c:pt idx="7">
                  <c:v>0.6817783979197057</c:v>
                </c:pt>
                <c:pt idx="8">
                  <c:v>0.5426708743220965</c:v>
                </c:pt>
                <c:pt idx="9">
                  <c:v>0.563650964650024</c:v>
                </c:pt>
                <c:pt idx="10">
                  <c:v>0.5583875280764933</c:v>
                </c:pt>
                <c:pt idx="11">
                  <c:v>0.589641453631591</c:v>
                </c:pt>
                <c:pt idx="12">
                  <c:v>0.5712063887272334</c:v>
                </c:pt>
                <c:pt idx="13">
                  <c:v>0</c:v>
                </c:pt>
                <c:pt idx="14">
                  <c:v>0.6278805713166853</c:v>
                </c:pt>
                <c:pt idx="15">
                  <c:v>0.5612723227221035</c:v>
                </c:pt>
                <c:pt idx="16">
                  <c:v>0.5908139140767603</c:v>
                </c:pt>
                <c:pt idx="17">
                  <c:v>0.6275186208925502</c:v>
                </c:pt>
                <c:pt idx="18">
                  <c:v>0.6410353269484561</c:v>
                </c:pt>
                <c:pt idx="19">
                  <c:v>0.5728258152396779</c:v>
                </c:pt>
                <c:pt idx="20">
                  <c:v>0.5554690319410166</c:v>
                </c:pt>
                <c:pt idx="21">
                  <c:v>0.6188125243661174</c:v>
                </c:pt>
                <c:pt idx="22">
                  <c:v>0.6349880412919665</c:v>
                </c:pt>
                <c:pt idx="23">
                  <c:v>0.6991887470729179</c:v>
                </c:pt>
                <c:pt idx="24">
                  <c:v>0</c:v>
                </c:pt>
                <c:pt idx="25">
                  <c:v>0</c:v>
                </c:pt>
                <c:pt idx="26">
                  <c:v>0</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0.37076925823074625</c:v>
                </c:pt>
                <c:pt idx="3">
                  <c:v>0.4062500029103828</c:v>
                </c:pt>
                <c:pt idx="4">
                  <c:v>0.33628120128122624</c:v>
                </c:pt>
                <c:pt idx="5">
                  <c:v>0.34557178111612463</c:v>
                </c:pt>
                <c:pt idx="6">
                  <c:v>0.36842108874934953</c:v>
                </c:pt>
                <c:pt idx="7">
                  <c:v>0.3340230170032923</c:v>
                </c:pt>
                <c:pt idx="8">
                  <c:v>0.3951451096479547</c:v>
                </c:pt>
                <c:pt idx="9">
                  <c:v>0.3571463682941999</c:v>
                </c:pt>
                <c:pt idx="10">
                  <c:v>0.3763926755407968</c:v>
                </c:pt>
                <c:pt idx="11">
                  <c:v>0.4472133999763215</c:v>
                </c:pt>
                <c:pt idx="12">
                  <c:v>0.4483717670546791</c:v>
                </c:pt>
                <c:pt idx="13">
                  <c:v>0</c:v>
                </c:pt>
                <c:pt idx="14">
                  <c:v>0.4196762191161264</c:v>
                </c:pt>
                <c:pt idx="15">
                  <c:v>0.420378773170733</c:v>
                </c:pt>
                <c:pt idx="16">
                  <c:v>0.4519748643982257</c:v>
                </c:pt>
                <c:pt idx="17">
                  <c:v>0.3629352301453201</c:v>
                </c:pt>
                <c:pt idx="18">
                  <c:v>0.3745218111452235</c:v>
                </c:pt>
                <c:pt idx="19">
                  <c:v>0.4262303412976069</c:v>
                </c:pt>
                <c:pt idx="20">
                  <c:v>0.4477257011793625</c:v>
                </c:pt>
                <c:pt idx="21">
                  <c:v>0.37787188940660354</c:v>
                </c:pt>
                <c:pt idx="22">
                  <c:v>0.40251951246506307</c:v>
                </c:pt>
                <c:pt idx="23">
                  <c:v>0.35798943788344295</c:v>
                </c:pt>
                <c:pt idx="24">
                  <c:v>0</c:v>
                </c:pt>
                <c:pt idx="25">
                  <c:v>0</c:v>
                </c:pt>
                <c:pt idx="26">
                  <c:v>0</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0.31250001746229705</c:v>
                </c:pt>
                <c:pt idx="4">
                  <c:v>0</c:v>
                </c:pt>
                <c:pt idx="5">
                  <c:v>0.0016301093839567603</c:v>
                </c:pt>
                <c:pt idx="6">
                  <c:v>0</c:v>
                </c:pt>
                <c:pt idx="7">
                  <c:v>0</c:v>
                </c:pt>
                <c:pt idx="8">
                  <c:v>0</c:v>
                </c:pt>
                <c:pt idx="9">
                  <c:v>0.061787689031148424</c:v>
                </c:pt>
                <c:pt idx="10">
                  <c:v>0</c:v>
                </c:pt>
                <c:pt idx="11">
                  <c:v>0</c:v>
                </c:pt>
                <c:pt idx="12">
                  <c:v>0.27012192250680134</c:v>
                </c:pt>
                <c:pt idx="13">
                  <c:v>0</c:v>
                </c:pt>
                <c:pt idx="14">
                  <c:v>0.04384472451420819</c:v>
                </c:pt>
                <c:pt idx="15">
                  <c:v>0</c:v>
                </c:pt>
                <c:pt idx="16">
                  <c:v>0.1989157289085794</c:v>
                </c:pt>
                <c:pt idx="17">
                  <c:v>0.06955161114877065</c:v>
                </c:pt>
                <c:pt idx="18">
                  <c:v>0.20378913961288883</c:v>
                </c:pt>
                <c:pt idx="19">
                  <c:v>0.27443952142699146</c:v>
                </c:pt>
                <c:pt idx="20">
                  <c:v>0.3547770702772552</c:v>
                </c:pt>
                <c:pt idx="21">
                  <c:v>0.17308939964738887</c:v>
                </c:pt>
                <c:pt idx="22">
                  <c:v>0.15843823507863442</c:v>
                </c:pt>
                <c:pt idx="23">
                  <c:v>0</c:v>
                </c:pt>
                <c:pt idx="24">
                  <c:v>0</c:v>
                </c:pt>
                <c:pt idx="25">
                  <c:v>0</c:v>
                </c:pt>
                <c:pt idx="26">
                  <c:v>0</c:v>
                </c:pt>
              </c:numCache>
            </c:numRef>
          </c:val>
        </c:ser>
        <c:overlap val="100"/>
        <c:gapWidth val="100"/>
        <c:axId val="62444206"/>
        <c:axId val="25126943"/>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0.3392372074422571</c:v>
                </c:pt>
                <c:pt idx="3">
                  <c:v>0.6253415646332281</c:v>
                </c:pt>
                <c:pt idx="4">
                  <c:v>0.38212940949766805</c:v>
                </c:pt>
                <c:pt idx="5">
                  <c:v>0.41932453600491015</c:v>
                </c:pt>
                <c:pt idx="6">
                  <c:v>0.3653013827742516</c:v>
                </c:pt>
                <c:pt idx="7">
                  <c:v>0.33516389350647313</c:v>
                </c:pt>
                <c:pt idx="8">
                  <c:v>0.4612406976118562</c:v>
                </c:pt>
                <c:pt idx="9">
                  <c:v>0.34497408009224595</c:v>
                </c:pt>
                <c:pt idx="10">
                  <c:v>0.3235539781293896</c:v>
                </c:pt>
                <c:pt idx="11">
                  <c:v>0.4643517141162436</c:v>
                </c:pt>
                <c:pt idx="12">
                  <c:v>0.4587291338882775</c:v>
                </c:pt>
                <c:pt idx="13">
                  <c:v>0.5</c:v>
                </c:pt>
                <c:pt idx="14">
                  <c:v>0.43481378128566117</c:v>
                </c:pt>
                <c:pt idx="15">
                  <c:v>0.4210442468118196</c:v>
                </c:pt>
                <c:pt idx="16">
                  <c:v>0.4806875830251112</c:v>
                </c:pt>
                <c:pt idx="17">
                  <c:v>0.45713029084168066</c:v>
                </c:pt>
                <c:pt idx="18">
                  <c:v>0.4297014373111884</c:v>
                </c:pt>
                <c:pt idx="19">
                  <c:v>0.4592973991975524</c:v>
                </c:pt>
                <c:pt idx="20">
                  <c:v>0.6336120158854768</c:v>
                </c:pt>
                <c:pt idx="21">
                  <c:v>0.24741493618858132</c:v>
                </c:pt>
                <c:pt idx="22">
                  <c:v>0.3828719028686094</c:v>
                </c:pt>
                <c:pt idx="23">
                  <c:v>0.4503521517595636</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0.5505439060671601</c:v>
                </c:pt>
                <c:pt idx="5">
                  <c:v>0.6389558883464065</c:v>
                </c:pt>
                <c:pt idx="6">
                  <c:v>-999</c:v>
                </c:pt>
                <c:pt idx="7">
                  <c:v>-999</c:v>
                </c:pt>
                <c:pt idx="8">
                  <c:v>0.5280074551780489</c:v>
                </c:pt>
                <c:pt idx="9">
                  <c:v>0.5049222957376989</c:v>
                </c:pt>
                <c:pt idx="10">
                  <c:v>0.5280408446689896</c:v>
                </c:pt>
                <c:pt idx="11">
                  <c:v>0.6055270427065335</c:v>
                </c:pt>
                <c:pt idx="12">
                  <c:v>0.43116707952422856</c:v>
                </c:pt>
                <c:pt idx="13">
                  <c:v>-999</c:v>
                </c:pt>
                <c:pt idx="14">
                  <c:v>0.41744880163048004</c:v>
                </c:pt>
                <c:pt idx="15">
                  <c:v>-999</c:v>
                </c:pt>
                <c:pt idx="16">
                  <c:v>0.48140526005480877</c:v>
                </c:pt>
                <c:pt idx="17">
                  <c:v>0.6306268870024603</c:v>
                </c:pt>
                <c:pt idx="18">
                  <c:v>-999</c:v>
                </c:pt>
                <c:pt idx="19">
                  <c:v>0.37398839383760696</c:v>
                </c:pt>
                <c:pt idx="20">
                  <c:v>0.4854624382790754</c:v>
                </c:pt>
                <c:pt idx="21">
                  <c:v>0.5962832802722089</c:v>
                </c:pt>
                <c:pt idx="22">
                  <c:v>0.36420592779866506</c:v>
                </c:pt>
                <c:pt idx="23">
                  <c:v>0.5371680068864968</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0.8354273440545492</c:v>
                </c:pt>
                <c:pt idx="3">
                  <c:v>0.3437500129220998</c:v>
                </c:pt>
                <c:pt idx="4">
                  <c:v>-999</c:v>
                </c:pt>
                <c:pt idx="5">
                  <c:v>-999</c:v>
                </c:pt>
                <c:pt idx="6">
                  <c:v>0.7368420771119355</c:v>
                </c:pt>
                <c:pt idx="7">
                  <c:v>0.6695719009346334</c:v>
                </c:pt>
                <c:pt idx="8">
                  <c:v>-999</c:v>
                </c:pt>
                <c:pt idx="9">
                  <c:v>-999</c:v>
                </c:pt>
                <c:pt idx="10">
                  <c:v>-999</c:v>
                </c:pt>
                <c:pt idx="11">
                  <c:v>-999</c:v>
                </c:pt>
                <c:pt idx="12">
                  <c:v>-999</c:v>
                </c:pt>
                <c:pt idx="13">
                  <c:v>0.3300648046032517</c:v>
                </c:pt>
                <c:pt idx="14">
                  <c:v>-999</c:v>
                </c:pt>
                <c:pt idx="15">
                  <c:v>0.25106867326763993</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24815896"/>
        <c:axId val="22016473"/>
      </c:scatterChart>
      <c:catAx>
        <c:axId val="62444206"/>
        <c:scaling>
          <c:orientation val="maxMin"/>
        </c:scaling>
        <c:axPos val="l"/>
        <c:delete val="0"/>
        <c:numFmt formatCode="General" sourceLinked="1"/>
        <c:majorTickMark val="out"/>
        <c:minorTickMark val="none"/>
        <c:tickLblPos val="none"/>
        <c:spPr>
          <a:ln w="3175">
            <a:noFill/>
          </a:ln>
        </c:spPr>
        <c:crossAx val="25126943"/>
        <c:crosses val="autoZero"/>
        <c:auto val="1"/>
        <c:lblOffset val="100"/>
        <c:tickLblSkip val="1"/>
        <c:noMultiLvlLbl val="0"/>
      </c:catAx>
      <c:valAx>
        <c:axId val="25126943"/>
        <c:scaling>
          <c:orientation val="minMax"/>
          <c:max val="1"/>
          <c:min val="0"/>
        </c:scaling>
        <c:axPos val="t"/>
        <c:delete val="0"/>
        <c:numFmt formatCode="General" sourceLinked="1"/>
        <c:majorTickMark val="none"/>
        <c:minorTickMark val="none"/>
        <c:tickLblPos val="none"/>
        <c:spPr>
          <a:ln w="3175">
            <a:noFill/>
          </a:ln>
        </c:spPr>
        <c:crossAx val="62444206"/>
        <c:crossesAt val="1"/>
        <c:crossBetween val="between"/>
        <c:dispUnits/>
        <c:majorUnit val="1"/>
      </c:valAx>
      <c:valAx>
        <c:axId val="24815896"/>
        <c:scaling>
          <c:orientation val="minMax"/>
          <c:max val="1"/>
          <c:min val="0"/>
        </c:scaling>
        <c:axPos val="t"/>
        <c:delete val="0"/>
        <c:numFmt formatCode="General" sourceLinked="1"/>
        <c:majorTickMark val="none"/>
        <c:minorTickMark val="none"/>
        <c:tickLblPos val="none"/>
        <c:spPr>
          <a:ln w="3175">
            <a:noFill/>
          </a:ln>
        </c:spPr>
        <c:crossAx val="22016473"/>
        <c:crosses val="max"/>
        <c:crossBetween val="midCat"/>
        <c:dispUnits/>
        <c:majorUnit val="0.1"/>
        <c:minorUnit val="0.020000000000000004"/>
      </c:valAx>
      <c:valAx>
        <c:axId val="22016473"/>
        <c:scaling>
          <c:orientation val="maxMin"/>
          <c:max val="29"/>
          <c:min val="0"/>
        </c:scaling>
        <c:axPos val="l"/>
        <c:delete val="0"/>
        <c:numFmt formatCode="General" sourceLinked="1"/>
        <c:majorTickMark val="none"/>
        <c:minorTickMark val="none"/>
        <c:tickLblPos val="none"/>
        <c:spPr>
          <a:ln w="3175">
            <a:noFill/>
          </a:ln>
        </c:spPr>
        <c:crossAx val="24815896"/>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Primary Care Trust (PCT)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Three indicators showing the numbers of patients first diagnosed with their cancer by different routes have been removed from this version of the profiles as these results are currently being reviewed for publication in a scientific journal. Updated profiles including these will be released once this process is complete.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716780"/>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723024" y="6114280"/>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14768" y="11229769"/>
            <a:ext cx="1008926"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19156" y="7828594"/>
            <a:ext cx="1419149"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667449"/>
            <a:ext cx="1542955" cy="143368"/>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34274" y="9362936"/>
            <a:ext cx="1190015"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84</xdr:row>
      <xdr:rowOff>95250</xdr:rowOff>
    </xdr:to>
    <xdr:grpSp>
      <xdr:nvGrpSpPr>
        <xdr:cNvPr id="1" name="Group 17"/>
        <xdr:cNvGrpSpPr>
          <a:grpSpLocks/>
        </xdr:cNvGrpSpPr>
      </xdr:nvGrpSpPr>
      <xdr:grpSpPr>
        <a:xfrm>
          <a:off x="571500" y="266700"/>
          <a:ext cx="7391400" cy="13430250"/>
          <a:chOff x="571500" y="266700"/>
          <a:chExt cx="7391400" cy="13430250"/>
        </a:xfrm>
        <a:solidFill>
          <a:srgbClr val="FFFFFF"/>
        </a:solidFill>
      </xdr:grpSpPr>
      <xdr:grpSp>
        <xdr:nvGrpSpPr>
          <xdr:cNvPr id="2" name="Group 16"/>
          <xdr:cNvGrpSpPr>
            <a:grpSpLocks/>
          </xdr:cNvGrpSpPr>
        </xdr:nvGrpSpPr>
        <xdr:grpSpPr>
          <a:xfrm>
            <a:off x="571500" y="266700"/>
            <a:ext cx="7391400" cy="13430250"/>
            <a:chOff x="571500" y="266700"/>
            <a:chExt cx="7391400" cy="13430250"/>
          </a:xfrm>
          <a:solidFill>
            <a:srgbClr val="FFFFFF"/>
          </a:solidFill>
        </xdr:grpSpPr>
        <xdr:grpSp>
          <xdr:nvGrpSpPr>
            <xdr:cNvPr id="3" name="Group 14"/>
            <xdr:cNvGrpSpPr>
              <a:grpSpLocks/>
            </xdr:cNvGrpSpPr>
          </xdr:nvGrpSpPr>
          <xdr:grpSpPr>
            <a:xfrm>
              <a:off x="571500" y="266700"/>
              <a:ext cx="7391400" cy="13430250"/>
              <a:chOff x="571500" y="266700"/>
              <a:chExt cx="7391400" cy="13430250"/>
            </a:xfrm>
            <a:solidFill>
              <a:srgbClr val="FFFFFF"/>
            </a:solidFill>
          </xdr:grpSpPr>
          <xdr:sp>
            <xdr:nvSpPr>
              <xdr:cNvPr id="4"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 July 2012</a:t>
                </a:r>
              </a:p>
            </xdr:txBody>
          </xdr:sp>
          <xdr:sp>
            <xdr:nvSpPr>
              <xdr:cNvPr id="5" name="Rectangle 7">
                <a:hlinkClick r:id="rId1"/>
              </xdr:cNvPr>
              <xdr:cNvSpPr>
                <a:spLocks/>
              </xdr:cNvSpPr>
            </xdr:nvSpPr>
            <xdr:spPr>
              <a:xfrm>
                <a:off x="7020497" y="12790408"/>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6" name="Rectangle 8">
                <a:hlinkClick r:id="rId2"/>
              </xdr:cNvPr>
              <xdr:cNvSpPr>
                <a:spLocks/>
              </xdr:cNvSpPr>
            </xdr:nvSpPr>
            <xdr:spPr>
              <a:xfrm>
                <a:off x="713784" y="12954929"/>
                <a:ext cx="4362774" cy="134303"/>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7" name="Rectangle 5">
              <a:hlinkClick r:id="rId3"/>
            </xdr:cNvPr>
            <xdr:cNvSpPr>
              <a:spLocks/>
            </xdr:cNvSpPr>
          </xdr:nvSpPr>
          <xdr:spPr>
            <a:xfrm>
              <a:off x="1743037" y="8133469"/>
              <a:ext cx="4372013" cy="14437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8" name="Rectangle 3">
            <a:hlinkClick r:id="rId4"/>
          </xdr:cNvPr>
          <xdr:cNvSpPr>
            <a:spLocks/>
          </xdr:cNvSpPr>
        </xdr:nvSpPr>
        <xdr:spPr>
          <a:xfrm>
            <a:off x="885635" y="8123396"/>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381000</xdr:colOff>
      <xdr:row>1</xdr:row>
      <xdr:rowOff>152400</xdr:rowOff>
    </xdr:from>
    <xdr:to>
      <xdr:col>12</xdr:col>
      <xdr:colOff>600075</xdr:colOff>
      <xdr:row>6</xdr:row>
      <xdr:rowOff>114300</xdr:rowOff>
    </xdr:to>
    <xdr:pic>
      <xdr:nvPicPr>
        <xdr:cNvPr id="9"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10"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25</xdr:col>
      <xdr:colOff>95250</xdr:colOff>
      <xdr:row>37</xdr:row>
      <xdr:rowOff>142875</xdr:rowOff>
    </xdr:from>
    <xdr:to>
      <xdr:col>27</xdr:col>
      <xdr:colOff>123825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631275" y="14516100"/>
          <a:ext cx="1295400" cy="600075"/>
        </a:xfrm>
        <a:prstGeom prst="rect">
          <a:avLst/>
        </a:prstGeom>
        <a:noFill/>
        <a:ln w="9525" cmpd="sng">
          <a:noFill/>
        </a:ln>
      </xdr:spPr>
    </xdr:pic>
    <xdr:clientData/>
  </xdr:twoCellAnchor>
  <xdr:twoCellAnchor>
    <xdr:from>
      <xdr:col>27</xdr:col>
      <xdr:colOff>485775</xdr:colOff>
      <xdr:row>37</xdr:row>
      <xdr:rowOff>200025</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573250"/>
          <a:ext cx="2095500" cy="485775"/>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gp.profiles@ncin.org.uk?subject=Feedback%20on%20GP%20Practice%20Profiles%20for%20Cancer"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A1"/>
  <sheetViews>
    <sheetView tabSelected="1" zoomScalePageLayoutView="0" workbookViewId="0" topLeftCell="A1">
      <selection activeCell="A1" sqref="A1"/>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54" sqref="A54"/>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9">
      <selection activeCell="H29" sqref="H29"/>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6" customWidth="1"/>
    <col min="9" max="10" width="18.7109375" style="116" customWidth="1"/>
    <col min="11" max="12" width="16.57421875" style="116"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5" t="str">
        <f>"Cancer indicators in "&amp;'Hide - Control'!A3&amp;", "&amp;'Hide - Control'!B3&amp;" ("&amp;'Hide - Control'!B4&amp;")"</f>
        <v>Cancer indicators in (N81001) AUDLEM MEDICAL PRACTICE, WESTERN CHESHIRE PCT (5NN)</v>
      </c>
      <c r="C2" s="315"/>
      <c r="D2" s="315"/>
      <c r="E2" s="315"/>
      <c r="F2" s="315"/>
      <c r="G2" s="315"/>
      <c r="H2" s="315"/>
      <c r="I2" s="111"/>
      <c r="J2" s="111"/>
      <c r="K2" s="111"/>
      <c r="L2" s="111"/>
      <c r="M2" s="65"/>
      <c r="N2" s="65"/>
      <c r="O2" s="65"/>
      <c r="P2" s="65"/>
      <c r="Q2" s="65"/>
      <c r="R2" s="66"/>
      <c r="S2" s="66"/>
      <c r="T2" s="66"/>
      <c r="U2" s="66"/>
      <c r="V2" s="66"/>
      <c r="W2" s="66"/>
      <c r="X2" s="66"/>
      <c r="Y2" s="66"/>
      <c r="Z2" s="66"/>
      <c r="AA2" s="66"/>
      <c r="AB2" s="66"/>
      <c r="AC2" s="66"/>
    </row>
    <row r="3" spans="2:29" ht="18" customHeight="1">
      <c r="B3" s="315"/>
      <c r="C3" s="315"/>
      <c r="D3" s="315"/>
      <c r="E3" s="315"/>
      <c r="F3" s="315"/>
      <c r="G3" s="315"/>
      <c r="H3" s="315"/>
      <c r="I3" s="112"/>
      <c r="J3" s="112"/>
      <c r="K3" s="112"/>
      <c r="L3" s="113"/>
      <c r="M3" s="65"/>
      <c r="N3" s="65"/>
      <c r="O3" s="107"/>
      <c r="P3" s="133" t="s">
        <v>475</v>
      </c>
      <c r="Q3" s="65"/>
      <c r="R3" s="66"/>
      <c r="S3" s="66"/>
      <c r="T3" s="66"/>
      <c r="U3" s="66"/>
      <c r="V3" s="66"/>
      <c r="W3" s="66"/>
      <c r="X3" s="66"/>
      <c r="Y3" s="66"/>
      <c r="Z3" s="66"/>
      <c r="AA3" s="66"/>
      <c r="AB3" s="66"/>
      <c r="AC3" s="66"/>
    </row>
    <row r="4" spans="2:29" ht="18" customHeight="1">
      <c r="B4" s="319" t="s">
        <v>546</v>
      </c>
      <c r="C4" s="320"/>
      <c r="D4" s="320"/>
      <c r="E4" s="320"/>
      <c r="F4" s="320"/>
      <c r="G4" s="321"/>
      <c r="H4" s="112"/>
      <c r="I4" s="112"/>
      <c r="J4" s="112"/>
      <c r="K4" s="112"/>
      <c r="L4" s="113"/>
      <c r="M4" s="65"/>
      <c r="N4" s="65"/>
      <c r="O4" s="65"/>
      <c r="P4" s="134" t="s">
        <v>476</v>
      </c>
      <c r="Q4" s="65"/>
      <c r="R4" s="66"/>
      <c r="S4" s="66"/>
      <c r="T4" s="66"/>
      <c r="U4" s="66"/>
      <c r="V4" s="66"/>
      <c r="W4" s="66"/>
      <c r="X4" s="66"/>
      <c r="Y4" s="66"/>
      <c r="Z4" s="66"/>
      <c r="AA4" s="66"/>
      <c r="AB4" s="66"/>
      <c r="AC4" s="66"/>
    </row>
    <row r="5" spans="2:29" s="61" customFormat="1" ht="18" customHeight="1">
      <c r="B5" s="322"/>
      <c r="C5" s="323"/>
      <c r="D5" s="323"/>
      <c r="E5" s="323"/>
      <c r="F5" s="323"/>
      <c r="G5" s="324"/>
      <c r="H5" s="114"/>
      <c r="I5" s="114"/>
      <c r="J5" s="114"/>
      <c r="K5" s="114"/>
      <c r="L5" s="114"/>
      <c r="M5" s="67"/>
      <c r="N5" s="67"/>
      <c r="O5" s="67"/>
      <c r="P5" s="134" t="s">
        <v>477</v>
      </c>
      <c r="Q5" s="67"/>
      <c r="R5" s="67"/>
      <c r="S5" s="67"/>
      <c r="T5" s="67"/>
      <c r="U5" s="67"/>
      <c r="V5" s="67"/>
      <c r="W5" s="67"/>
      <c r="X5" s="67"/>
      <c r="Y5" s="67"/>
      <c r="Z5" s="67"/>
      <c r="AA5" s="67"/>
      <c r="AB5" s="67"/>
      <c r="AC5" s="67"/>
    </row>
    <row r="6" spans="2:29" s="61" customFormat="1" ht="18" customHeight="1">
      <c r="B6" s="322"/>
      <c r="C6" s="323"/>
      <c r="D6" s="323"/>
      <c r="E6" s="323"/>
      <c r="F6" s="323"/>
      <c r="G6" s="324"/>
      <c r="H6" s="114"/>
      <c r="I6" s="114"/>
      <c r="J6" s="114"/>
      <c r="K6" s="114"/>
      <c r="L6" s="114"/>
      <c r="M6" s="67"/>
      <c r="N6" s="67"/>
      <c r="O6" s="67"/>
      <c r="P6" s="136" t="s">
        <v>372</v>
      </c>
      <c r="Q6" s="67"/>
      <c r="R6" s="67"/>
      <c r="S6" s="67"/>
      <c r="T6" s="67"/>
      <c r="U6" s="67"/>
      <c r="V6" s="67"/>
      <c r="W6" s="67"/>
      <c r="X6" s="67"/>
      <c r="Y6" s="67"/>
      <c r="Z6" s="67"/>
      <c r="AA6" s="67"/>
      <c r="AB6" s="214"/>
      <c r="AC6" s="67"/>
    </row>
    <row r="7" spans="2:29" s="61" customFormat="1" ht="18" customHeight="1">
      <c r="B7" s="325"/>
      <c r="C7" s="326"/>
      <c r="D7" s="326"/>
      <c r="E7" s="326"/>
      <c r="F7" s="326"/>
      <c r="G7" s="327"/>
      <c r="H7" s="114"/>
      <c r="I7" s="114"/>
      <c r="J7" s="114"/>
      <c r="K7" s="114"/>
      <c r="L7" s="114"/>
      <c r="M7" s="67"/>
      <c r="N7" s="67"/>
      <c r="O7" s="67"/>
      <c r="P7" s="67"/>
      <c r="Q7" s="67"/>
      <c r="R7" s="67"/>
      <c r="S7" s="67"/>
      <c r="T7" s="67"/>
      <c r="U7" s="67"/>
      <c r="V7" s="108"/>
      <c r="W7" s="108"/>
      <c r="X7" s="108"/>
      <c r="Y7" s="67"/>
      <c r="Z7" s="67"/>
      <c r="AA7" s="67"/>
      <c r="AB7" s="67"/>
      <c r="AC7" s="67"/>
    </row>
    <row r="8" spans="2:29" s="110" customFormat="1" ht="33.75" customHeight="1">
      <c r="B8" s="115" t="s">
        <v>545</v>
      </c>
      <c r="C8" s="115"/>
      <c r="D8" s="115"/>
      <c r="E8" s="128">
        <f>VLOOKUP('Hide - Control'!A$3,'All practice data'!A:CA,4,FALSE)</f>
        <v>4491</v>
      </c>
      <c r="F8" s="310" t="str">
        <f>VLOOKUP('Hide - Control'!B4,'Hide - Calculation'!AY:BA,3,FALSE)</f>
        <v> </v>
      </c>
      <c r="G8" s="310"/>
      <c r="H8" s="310"/>
      <c r="I8" s="115"/>
      <c r="J8" s="115"/>
      <c r="K8" s="115"/>
      <c r="L8" s="115"/>
      <c r="M8" s="109"/>
      <c r="N8" s="314" t="s">
        <v>485</v>
      </c>
      <c r="O8" s="314"/>
      <c r="P8" s="314"/>
      <c r="Q8" s="314" t="s">
        <v>32</v>
      </c>
      <c r="R8" s="314"/>
      <c r="S8" s="314"/>
      <c r="T8" s="314" t="s">
        <v>549</v>
      </c>
      <c r="U8" s="314"/>
      <c r="V8" s="314" t="s">
        <v>33</v>
      </c>
      <c r="W8" s="314"/>
      <c r="X8" s="314"/>
      <c r="Y8" s="135"/>
      <c r="Z8" s="314" t="s">
        <v>478</v>
      </c>
      <c r="AA8" s="314"/>
      <c r="AB8" s="161"/>
      <c r="AC8" s="109"/>
    </row>
    <row r="9" spans="2:29" s="61" customFormat="1" ht="19.5" customHeight="1" thickBot="1">
      <c r="B9" s="114" t="s">
        <v>470</v>
      </c>
      <c r="C9" s="114"/>
      <c r="D9" s="114"/>
      <c r="E9" s="129">
        <f>VLOOKUP('Hide - Control'!B4,'Hide - Calculation'!AY:BB,4,FALSE)</f>
        <v>259945</v>
      </c>
      <c r="F9" s="310"/>
      <c r="G9" s="310"/>
      <c r="H9" s="310"/>
      <c r="I9" s="114"/>
      <c r="J9" s="114"/>
      <c r="K9" s="114"/>
      <c r="L9" s="114"/>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11"/>
      <c r="G10" s="311"/>
      <c r="H10" s="311"/>
      <c r="I10" s="114"/>
      <c r="J10" s="114"/>
      <c r="K10" s="114"/>
      <c r="L10" s="114"/>
      <c r="M10" s="331" t="s">
        <v>467</v>
      </c>
      <c r="N10" s="332"/>
      <c r="O10" s="332"/>
      <c r="P10" s="332"/>
      <c r="Q10" s="332"/>
      <c r="R10" s="332"/>
      <c r="S10" s="332"/>
      <c r="T10" s="332"/>
      <c r="U10" s="332"/>
      <c r="V10" s="332"/>
      <c r="W10" s="332"/>
      <c r="X10" s="332"/>
      <c r="Y10" s="332"/>
      <c r="Z10" s="332"/>
      <c r="AA10" s="333"/>
      <c r="AB10" s="67"/>
      <c r="AC10" s="67"/>
    </row>
    <row r="11" spans="2:29" ht="86.25" customHeight="1" thickBot="1">
      <c r="B11" s="261" t="s">
        <v>23</v>
      </c>
      <c r="C11" s="262"/>
      <c r="D11" s="316" t="s">
        <v>448</v>
      </c>
      <c r="E11" s="317"/>
      <c r="F11" s="318"/>
      <c r="G11" s="263" t="s">
        <v>446</v>
      </c>
      <c r="H11" s="255" t="s">
        <v>447</v>
      </c>
      <c r="I11" s="255" t="s">
        <v>458</v>
      </c>
      <c r="J11" s="255" t="s">
        <v>459</v>
      </c>
      <c r="K11" s="255" t="s">
        <v>330</v>
      </c>
      <c r="L11" s="256" t="s">
        <v>372</v>
      </c>
      <c r="M11" s="257" t="s">
        <v>468</v>
      </c>
      <c r="N11" s="334" t="s">
        <v>466</v>
      </c>
      <c r="O11" s="334"/>
      <c r="P11" s="334"/>
      <c r="Q11" s="334"/>
      <c r="R11" s="334"/>
      <c r="S11" s="334"/>
      <c r="T11" s="334"/>
      <c r="U11" s="334"/>
      <c r="V11" s="334"/>
      <c r="W11" s="334"/>
      <c r="X11" s="334"/>
      <c r="Y11" s="334"/>
      <c r="Z11" s="334"/>
      <c r="AA11" s="258" t="s">
        <v>469</v>
      </c>
      <c r="AB11" s="264" t="s">
        <v>46</v>
      </c>
      <c r="AC11" s="265" t="s">
        <v>38</v>
      </c>
    </row>
    <row r="12" spans="2:29" s="63" customFormat="1" ht="4.5" customHeight="1" thickBot="1">
      <c r="B12" s="200"/>
      <c r="C12" s="201"/>
      <c r="D12" s="202"/>
      <c r="E12" s="202"/>
      <c r="F12" s="202"/>
      <c r="G12" s="203"/>
      <c r="H12" s="204"/>
      <c r="I12" s="204"/>
      <c r="J12" s="204"/>
      <c r="K12" s="211"/>
      <c r="L12" s="205"/>
      <c r="M12" s="206">
        <f>IF(ISBLANK('Hide - Calculation'!K5),"",'Hide - Calculation'!U5)</f>
      </c>
      <c r="N12" s="259"/>
      <c r="O12" s="66"/>
      <c r="P12" s="66"/>
      <c r="Q12" s="66"/>
      <c r="R12" s="66"/>
      <c r="S12" s="66"/>
      <c r="T12" s="66"/>
      <c r="U12" s="66"/>
      <c r="V12" s="66"/>
      <c r="W12" s="66"/>
      <c r="X12" s="66"/>
      <c r="Y12" s="66"/>
      <c r="Z12" s="260"/>
      <c r="AA12" s="225">
        <f>IF(ISBLANK('Hide - Calculation'!K5),"",'Hide - Calculation'!T5)</f>
      </c>
      <c r="AB12" s="232"/>
      <c r="AC12" s="207"/>
    </row>
    <row r="13" spans="2:29" ht="33.75" customHeight="1">
      <c r="B13" s="308" t="s">
        <v>328</v>
      </c>
      <c r="C13" s="163">
        <v>1</v>
      </c>
      <c r="D13" s="312" t="s">
        <v>324</v>
      </c>
      <c r="E13" s="313"/>
      <c r="F13" s="313"/>
      <c r="G13" s="166">
        <f>IF(VLOOKUP('Hide - Control'!A$3,'All practice data'!A:CA,C13+4,FALSE)=" "," ",VLOOKUP('Hide - Control'!A$3,'All practice data'!A:CA,C13+4,FALSE))</f>
        <v>1098</v>
      </c>
      <c r="H13" s="190">
        <f>IF(VLOOKUP('Hide - Control'!A$3,'All practice data'!A:CA,C13+30,FALSE)=" "," ",VLOOKUP('Hide - Control'!A$3,'All practice data'!A:CA,C13+30,FALSE))</f>
        <v>0.24448897795591182</v>
      </c>
      <c r="I13" s="191">
        <f>IF(LEFT(G13,1)=" "," n/a",+((2*G13+1.96^2-1.96*SQRT(1.96^2+4*G13*(1-G13/E$8)))/(2*(E$8+1.96^2))))</f>
        <v>0.23214085028688788</v>
      </c>
      <c r="J13" s="191">
        <f>IF(LEFT(G13,1)=" "," n/a",+((2*G13+1.96^2+1.96*SQRT(1.96^2+4*G13*(1-G13/E$8)))/(2*(E$8+1.96^2))))</f>
        <v>0.25727386012248454</v>
      </c>
      <c r="K13" s="190">
        <f>IF('Hide - Calculation'!N7="","",'Hide - Calculation'!N7)</f>
        <v>0.18506991863663466</v>
      </c>
      <c r="L13" s="192">
        <f>'Hide - Calculation'!O7</f>
        <v>0.1599882305185145</v>
      </c>
      <c r="M13" s="208">
        <f>IF(ISBLANK('Hide - Calculation'!K7),"",'Hide - Calculation'!U7)</f>
        <v>0.10221643000841141</v>
      </c>
      <c r="N13" s="173"/>
      <c r="O13" s="173"/>
      <c r="P13" s="173"/>
      <c r="Q13" s="173"/>
      <c r="R13" s="173"/>
      <c r="S13" s="173"/>
      <c r="T13" s="173"/>
      <c r="U13" s="173"/>
      <c r="V13" s="173"/>
      <c r="W13" s="173"/>
      <c r="X13" s="173"/>
      <c r="Y13" s="173"/>
      <c r="Z13" s="173"/>
      <c r="AA13" s="226">
        <f>IF(ISBLANK('Hide - Calculation'!K7),"",'Hide - Calculation'!T7)</f>
        <v>0.2547597587108612</v>
      </c>
      <c r="AB13" s="233" t="s">
        <v>543</v>
      </c>
      <c r="AC13" s="209" t="s">
        <v>544</v>
      </c>
    </row>
    <row r="14" spans="2:29" ht="33.75" customHeight="1">
      <c r="B14" s="306"/>
      <c r="C14" s="137">
        <v>2</v>
      </c>
      <c r="D14" s="132" t="s">
        <v>479</v>
      </c>
      <c r="E14" s="85"/>
      <c r="F14" s="85"/>
      <c r="G14" s="118" t="str">
        <f>IF(VLOOKUP('Hide - Control'!A$3,'All practice data'!A:CA,C14+4,FALSE)=" "," ",VLOOKUP('Hide - Control'!A$3,'All practice data'!A:CA,C14+4,FALSE))</f>
        <v>Quintile 1</v>
      </c>
      <c r="H14" s="119">
        <f>IF(VLOOKUP('Hide - Control'!A$3,'All practice data'!A:CA,C14+30,FALSE)=" "," ",VLOOKUP('Hide - Control'!A$3,'All practice data'!A:CA,C14+30,FALSE))</f>
        <v>0.06</v>
      </c>
      <c r="I14" s="120">
        <f>IF(LEFT(G14,1)=" "," n/a",+((2*H14*E8+1.96^2-1.96*SQRT(1.96^2+4*H14*E8*(1-H14*E8/E$8)))/(2*(E$8+1.96^2))))</f>
        <v>0.05342301700283047</v>
      </c>
      <c r="J14" s="120">
        <f>IF(LEFT(G14,1)=" "," n/a",+((2*H14*E8+1.96^2+1.96*SQRT(1.96^2+4*H14*E8*(1-H14*E8/E$8)))/(2*(E$8+1.96^2))))</f>
        <v>0.06732909136957578</v>
      </c>
      <c r="K14" s="119">
        <f>IF('Hide - Calculation'!N8="","",'Hide - Calculation'!N8)</f>
        <v>0.11738217699898057</v>
      </c>
      <c r="L14" s="155">
        <f>'Hide - Calculation'!O8</f>
        <v>0.15010930292554353</v>
      </c>
      <c r="M14" s="150">
        <f>IF(ISBLANK('Hide - Calculation'!K8),"",'Hide - Calculation'!U8)</f>
        <v>0.05000000074505806</v>
      </c>
      <c r="N14" s="84"/>
      <c r="O14" s="84"/>
      <c r="P14" s="84"/>
      <c r="Q14" s="84"/>
      <c r="R14" s="84"/>
      <c r="S14" s="84"/>
      <c r="T14" s="84"/>
      <c r="U14" s="84"/>
      <c r="V14" s="84"/>
      <c r="W14" s="84"/>
      <c r="X14" s="84"/>
      <c r="Y14" s="84"/>
      <c r="Z14" s="84"/>
      <c r="AA14" s="227">
        <f>IF(ISBLANK('Hide - Calculation'!K8),"",'Hide - Calculation'!T8)</f>
        <v>0.27000001072883606</v>
      </c>
      <c r="AB14" s="234" t="s">
        <v>39</v>
      </c>
      <c r="AC14" s="130" t="s">
        <v>544</v>
      </c>
    </row>
    <row r="15" spans="2:39" s="63" customFormat="1" ht="33.75" customHeight="1">
      <c r="B15" s="306"/>
      <c r="C15" s="137">
        <v>3</v>
      </c>
      <c r="D15" s="132" t="s">
        <v>333</v>
      </c>
      <c r="E15" s="85"/>
      <c r="F15" s="85"/>
      <c r="G15" s="121">
        <f>IF(VLOOKUP('Hide - Control'!A$3,'All practice data'!A:CA,C15+4,FALSE)=" "," ",VLOOKUP('Hide - Control'!A$3,'All practice data'!A:CA,C15+4,FALSE))</f>
        <v>27</v>
      </c>
      <c r="H15" s="122">
        <f>IF(VLOOKUP('Hide - Control'!A$3,'All practice data'!A:CA,C15+30,FALSE)=" "," ",VLOOKUP('Hide - Control'!A$3,'All practice data'!A:CA,C15+30,FALSE))</f>
        <v>601.2024048096192</v>
      </c>
      <c r="I15" s="123">
        <f>IF(LEFT(G15,1)=" "," n/a",IF(G15&lt;5,100000*VLOOKUP(G15,'Hide - Calculation'!AQ:AR,2,FALSE)/$E$8,100000*(G15*(1-1/(9*G15)-1.96/(3*SQRT(G15)))^3)/$E$8))</f>
        <v>396.0993715002599</v>
      </c>
      <c r="J15" s="123">
        <f>IF(LEFT(G15,1)=" "," n/a",IF(G15&lt;5,100000*VLOOKUP(G15,'Hide - Calculation'!AQ:AS,3,FALSE)/$E$8,100000*((G15+1)*(1-1/(9*(G15+1))+1.96/(3*SQRT(G15+1)))^3)/$E$8))</f>
        <v>874.7570143125905</v>
      </c>
      <c r="K15" s="122">
        <f>IF('Hide - Calculation'!N9="","",'Hide - Calculation'!N9)</f>
        <v>513.9548750697263</v>
      </c>
      <c r="L15" s="156">
        <f>'Hide - Calculation'!O9</f>
        <v>445.6198871279627</v>
      </c>
      <c r="M15" s="151">
        <f>IF(ISBLANK('Hide - Calculation'!K9),"",'Hide - Calculation'!U9)</f>
        <v>92.60600280761719</v>
      </c>
      <c r="N15" s="84"/>
      <c r="O15" s="84"/>
      <c r="P15" s="84"/>
      <c r="Q15" s="84"/>
      <c r="R15" s="84"/>
      <c r="S15" s="84"/>
      <c r="T15" s="84"/>
      <c r="U15" s="84"/>
      <c r="V15" s="84"/>
      <c r="W15" s="84"/>
      <c r="X15" s="84"/>
      <c r="Y15" s="84"/>
      <c r="Z15" s="84"/>
      <c r="AA15" s="228">
        <f>IF(ISBLANK('Hide - Calculation'!K9),"",'Hide - Calculation'!T9)</f>
        <v>769.9275512695312</v>
      </c>
      <c r="AB15" s="234" t="s">
        <v>449</v>
      </c>
      <c r="AC15" s="131">
        <v>2009</v>
      </c>
      <c r="AD15" s="64"/>
      <c r="AE15" s="64"/>
      <c r="AF15" s="64"/>
      <c r="AG15" s="64"/>
      <c r="AH15" s="64"/>
      <c r="AI15" s="64"/>
      <c r="AJ15" s="64"/>
      <c r="AK15" s="64"/>
      <c r="AL15" s="64"/>
      <c r="AM15" s="64"/>
    </row>
    <row r="16" spans="2:29" s="63" customFormat="1" ht="33.75" customHeight="1">
      <c r="B16" s="306"/>
      <c r="C16" s="137">
        <v>4</v>
      </c>
      <c r="D16" s="132" t="s">
        <v>471</v>
      </c>
      <c r="E16" s="85"/>
      <c r="F16" s="85"/>
      <c r="G16" s="121">
        <f>IF(VLOOKUP('Hide - Control'!A$3,'All practice data'!A:CA,C16+4,FALSE)=" "," ",VLOOKUP('Hide - Control'!A$3,'All practice data'!A:CA,C16+4,FALSE))</f>
        <v>15</v>
      </c>
      <c r="H16" s="122">
        <f>IF(VLOOKUP('Hide - Control'!A$3,'All practice data'!A:CA,C16+30,FALSE)=" "," ",VLOOKUP('Hide - Control'!A$3,'All practice data'!A:CA,C16+30,FALSE))</f>
        <v>334.001336005344</v>
      </c>
      <c r="I16" s="123">
        <f>IF(LEFT(G16,1)=" "," n/a",IF(G16&lt;5,100000*VLOOKUP(G16,'Hide - Calculation'!AQ:AR,2,FALSE)/$E$8,100000*(G16*(1-1/(9*G16)-1.96/(3*SQRT(G16)))^3)/$E$8))</f>
        <v>186.79958420666736</v>
      </c>
      <c r="J16" s="123">
        <f>IF(LEFT(G16,1)=" "," n/a",IF(G16&lt;5,100000*VLOOKUP(G16,'Hide - Calculation'!AQ:AS,3,FALSE)/$E$8,100000*((G16+1)*(1-1/(9*(G16+1))+1.96/(3*SQRT(G16+1)))^3)/$E$8))</f>
        <v>550.9201511314049</v>
      </c>
      <c r="K16" s="122">
        <f>IF('Hide - Calculation'!N10="","",'Hide - Calculation'!N10)</f>
        <v>263.51728250206776</v>
      </c>
      <c r="L16" s="156">
        <f>'Hide - Calculation'!O10</f>
        <v>234.12259778895606</v>
      </c>
      <c r="M16" s="151">
        <f>IF(ISBLANK('Hide - Calculation'!K10),"",'Hide - Calculation'!U10)</f>
        <v>44.173431396484375</v>
      </c>
      <c r="N16" s="84"/>
      <c r="O16" s="84"/>
      <c r="P16" s="84"/>
      <c r="Q16" s="84"/>
      <c r="R16" s="84"/>
      <c r="S16" s="84"/>
      <c r="T16" s="84"/>
      <c r="U16" s="84"/>
      <c r="V16" s="84"/>
      <c r="W16" s="84"/>
      <c r="X16" s="84"/>
      <c r="Y16" s="84"/>
      <c r="Z16" s="84"/>
      <c r="AA16" s="228">
        <f>IF(ISBLANK('Hide - Calculation'!K10),"",'Hide - Calculation'!T10)</f>
        <v>498.18841552734375</v>
      </c>
      <c r="AB16" s="234" t="s">
        <v>327</v>
      </c>
      <c r="AC16" s="131" t="s">
        <v>503</v>
      </c>
    </row>
    <row r="17" spans="2:29" s="63" customFormat="1" ht="33.75" customHeight="1" thickBot="1">
      <c r="B17" s="309"/>
      <c r="C17" s="180">
        <v>5</v>
      </c>
      <c r="D17" s="195" t="s">
        <v>332</v>
      </c>
      <c r="E17" s="182"/>
      <c r="F17" s="182"/>
      <c r="G17" s="140">
        <f>IF(VLOOKUP('Hide - Control'!A$3,'All practice data'!A:CA,C17+4,FALSE)=" "," ",VLOOKUP('Hide - Control'!A$3,'All practice data'!A:CA,C17+4,FALSE))</f>
        <v>103</v>
      </c>
      <c r="H17" s="141">
        <f>IF(VLOOKUP('Hide - Control'!A$3,'All practice data'!A:CA,C17+30,FALSE)=" "," ",VLOOKUP('Hide - Control'!A$3,'All practice data'!A:CA,C17+30,FALSE))</f>
        <v>0.023</v>
      </c>
      <c r="I17" s="142">
        <f>IF(LEFT(G17,1)=" "," n/a",+((2*G17+1.96^2-1.96*SQRT(1.96^2+4*G17*(1-G17/E$8)))/(2*(E$8+1.96^2))))</f>
        <v>0.018947231650534305</v>
      </c>
      <c r="J17" s="142">
        <f>IF(LEFT(G17,1)=" "," n/a",+((2*G17+1.96^2+1.96*SQRT(1.96^2+4*G17*(1-G17/E$8)))/(2*(E$8+1.96^2))))</f>
        <v>0.02773775052992785</v>
      </c>
      <c r="K17" s="141">
        <f>IF('Hide - Calculation'!N11="","",'Hide - Calculation'!N11)</f>
        <v>0.018200003846967627</v>
      </c>
      <c r="L17" s="157">
        <f>'Hide - Calculation'!O11</f>
        <v>0.015940726342527432</v>
      </c>
      <c r="M17" s="210">
        <f>IF(ISBLANK('Hide - Calculation'!K11),"",'Hide - Calculation'!U11)</f>
        <v>0.008999999612569809</v>
      </c>
      <c r="N17" s="91"/>
      <c r="O17" s="91"/>
      <c r="P17" s="91"/>
      <c r="Q17" s="91"/>
      <c r="R17" s="91"/>
      <c r="S17" s="91"/>
      <c r="T17" s="91"/>
      <c r="U17" s="91"/>
      <c r="V17" s="91"/>
      <c r="W17" s="91"/>
      <c r="X17" s="91"/>
      <c r="Y17" s="91"/>
      <c r="Z17" s="91"/>
      <c r="AA17" s="229">
        <f>IF(ISBLANK('Hide - Calculation'!K11),"",'Hide - Calculation'!T11)</f>
        <v>0.027000000700354576</v>
      </c>
      <c r="AB17" s="235" t="s">
        <v>472</v>
      </c>
      <c r="AC17" s="189" t="s">
        <v>503</v>
      </c>
    </row>
    <row r="18" spans="2:29" s="63" customFormat="1" ht="33.75" customHeight="1">
      <c r="B18" s="308" t="s">
        <v>13</v>
      </c>
      <c r="C18" s="163">
        <v>6</v>
      </c>
      <c r="D18" s="164" t="s">
        <v>480</v>
      </c>
      <c r="E18" s="165"/>
      <c r="F18" s="165"/>
      <c r="G18" s="219">
        <f>IF(OR(VLOOKUP('Hide - Control'!A$3,'All practice data'!A:CA,C18+4,FALSE)=" ",VLOOKUP('Hide - Control'!A$3,'All practice data'!A:CA,C18+52,FALSE)=0)," n/a",VLOOKUP('Hide - Control'!A$3,'All practice data'!A:CA,C18+4,FALSE))</f>
        <v>609</v>
      </c>
      <c r="H18" s="220">
        <f>IF(OR(VLOOKUP('Hide - Control'!A$3,'All practice data'!A:CA,C18+30,FALSE)=" ",VLOOKUP('Hide - Control'!A$3,'All practice data'!A:CA,C18+52,FALSE)=0)," n/a",VLOOKUP('Hide - Control'!A$3,'All practice data'!A:CA,C18+30,FALSE))</f>
        <v>0.794003</v>
      </c>
      <c r="I18" s="191">
        <f>IF(OR(LEFT(H18,1)=" ",VLOOKUP('Hide - Control'!A$3,'All practice data'!A:CA,C18+52,FALSE)=0)," n/a",+((2*G18+1.96^2-1.96*SQRT(1.96^2+4*G18*(1-G18/(VLOOKUP('Hide - Control'!A$3,'All practice data'!A:CA,C18+52,FALSE)))))/(2*(((VLOOKUP('Hide - Control'!A$3,'All practice data'!A:CA,C18+52,FALSE)))+1.96^2))))</f>
        <v>0.7639492255558757</v>
      </c>
      <c r="J18" s="191">
        <f>IF(OR(LEFT(H18,1)=" ",VLOOKUP('Hide - Control'!A$3,'All practice data'!A:CA,C18+52,FALSE)=0)," n/a",+((2*G18+1.96^2+1.96*SQRT(1.96^2+4*G18*(1-G18/(VLOOKUP('Hide - Control'!A$3,'All practice data'!A:CA,C18+52,FALSE)))))/(2*((VLOOKUP('Hide - Control'!A$3,'All practice data'!A:CA,C18+52,FALSE))+1.96^2))))</f>
        <v>0.821125580993226</v>
      </c>
      <c r="K18" s="220">
        <f>IF('Hide - Calculation'!N12="","",'Hide - Calculation'!N12)</f>
        <v>0.7622955802784364</v>
      </c>
      <c r="L18" s="192">
        <f>'Hide - Calculation'!O12</f>
        <v>0.7248631360507991</v>
      </c>
      <c r="M18" s="193">
        <f>IF(ISBLANK('Hide - Calculation'!K12),"",'Hide - Calculation'!U12)</f>
        <v>0.6555669903755188</v>
      </c>
      <c r="N18" s="194"/>
      <c r="O18" s="173"/>
      <c r="P18" s="173"/>
      <c r="Q18" s="173"/>
      <c r="R18" s="173"/>
      <c r="S18" s="173"/>
      <c r="T18" s="173"/>
      <c r="U18" s="173"/>
      <c r="V18" s="173"/>
      <c r="W18" s="173"/>
      <c r="X18" s="173"/>
      <c r="Y18" s="173"/>
      <c r="Z18" s="174"/>
      <c r="AA18" s="193">
        <f>IF(ISBLANK('Hide - Calculation'!K12),"",'Hide - Calculation'!T12)</f>
        <v>0.8329049944877625</v>
      </c>
      <c r="AB18" s="233" t="s">
        <v>48</v>
      </c>
      <c r="AC18" s="175" t="s">
        <v>504</v>
      </c>
    </row>
    <row r="19" spans="2:29" s="63" customFormat="1" ht="33.75" customHeight="1">
      <c r="B19" s="306"/>
      <c r="C19" s="137">
        <v>7</v>
      </c>
      <c r="D19" s="132" t="s">
        <v>481</v>
      </c>
      <c r="E19" s="85"/>
      <c r="F19" s="85"/>
      <c r="G19" s="221">
        <f>IF(OR(VLOOKUP('Hide - Control'!A$3,'All practice data'!A:CA,C19+4,FALSE)=" ",VLOOKUP('Hide - Control'!A$3,'All practice data'!A:CA,C19+52,FALSE)=0)," n/a",VLOOKUP('Hide - Control'!A$3,'All practice data'!A:CA,C19+4,FALSE))</f>
        <v>588</v>
      </c>
      <c r="H19" s="218">
        <f>IF(OR(VLOOKUP('Hide - Control'!A$3,'All practice data'!A:CA,C19+30,FALSE)=" ",VLOOKUP('Hide - Control'!A$3,'All practice data'!A:CA,C19+52,FALSE)=0)," n/a",VLOOKUP('Hide - Control'!A$3,'All practice data'!A:CA,C19+30,FALSE))</f>
        <v>0.806584</v>
      </c>
      <c r="I19" s="120">
        <f>IF(OR(LEFT(H19,1)=" ",VLOOKUP('Hide - Control'!A$3,'All practice data'!A:CA,C19+52,FALSE)=0)," n/a",+((2*G19+1.96^2-1.96*SQRT(1.96^2+4*G19*(1-G19/(VLOOKUP('Hide - Control'!A$3,'All practice data'!A:CA,C19+52,FALSE)))))/(2*(((VLOOKUP('Hide - Control'!A$3,'All practice data'!A:CA,C19+52,FALSE)))+1.96^2))))</f>
        <v>0.7763350231463206</v>
      </c>
      <c r="J19" s="120">
        <f>IF(OR(LEFT(H19,1)=" ",VLOOKUP('Hide - Control'!A$3,'All practice data'!A:CA,C19+52,FALSE)=0)," n/a",+((2*G19+1.96^2+1.96*SQRT(1.96^2+4*G19*(1-G19/(VLOOKUP('Hide - Control'!A$3,'All practice data'!A:CA,C19+52,FALSE)))))/(2*((VLOOKUP('Hide - Control'!A$3,'All practice data'!A:CA,C19+52,FALSE))+1.96^2))))</f>
        <v>0.8336194335875766</v>
      </c>
      <c r="K19" s="218">
        <f>IF('Hide - Calculation'!N13="","",'Hide - Calculation'!N13)</f>
        <v>0.805815549731686</v>
      </c>
      <c r="L19" s="155">
        <f>'Hide - Calculation'!O13</f>
        <v>0.7467412166569077</v>
      </c>
      <c r="M19" s="152">
        <f>IF(ISBLANK('Hide - Calculation'!K13),"",'Hide - Calculation'!U13)</f>
        <v>0.33333298563957214</v>
      </c>
      <c r="N19" s="160"/>
      <c r="O19" s="84"/>
      <c r="P19" s="84"/>
      <c r="Q19" s="84"/>
      <c r="R19" s="84"/>
      <c r="S19" s="84"/>
      <c r="T19" s="84"/>
      <c r="U19" s="84"/>
      <c r="V19" s="84"/>
      <c r="W19" s="84"/>
      <c r="X19" s="84"/>
      <c r="Y19" s="84"/>
      <c r="Z19" s="88"/>
      <c r="AA19" s="152">
        <f>IF(ISBLANK('Hide - Calculation'!K13),"",'Hide - Calculation'!T13)</f>
        <v>0.9166669845581055</v>
      </c>
      <c r="AB19" s="234" t="s">
        <v>48</v>
      </c>
      <c r="AC19" s="131" t="s">
        <v>503</v>
      </c>
    </row>
    <row r="20" spans="2:29" s="63" customFormat="1" ht="33.75" customHeight="1">
      <c r="B20" s="306"/>
      <c r="C20" s="137">
        <v>8</v>
      </c>
      <c r="D20" s="132" t="s">
        <v>482</v>
      </c>
      <c r="E20" s="85"/>
      <c r="F20" s="85"/>
      <c r="G20" s="221">
        <f>IF(OR(VLOOKUP('Hide - Control'!A$3,'All practice data'!A:CA,C20+4,FALSE)=" ",VLOOKUP('Hide - Control'!A$3,'All practice data'!A:CA,C20+52,FALSE)=0)," n/a",VLOOKUP('Hide - Control'!A$3,'All practice data'!A:CA,C20+4,FALSE))</f>
        <v>861</v>
      </c>
      <c r="H20" s="218">
        <f>IF(OR(VLOOKUP('Hide - Control'!A$3,'All practice data'!A:CA,C20+30,FALSE)=" ",VLOOKUP('Hide - Control'!A$3,'All practice data'!A:CA,C20+52,FALSE)=0)," n/a",VLOOKUP('Hide - Control'!A$3,'All practice data'!A:CA,C20+30,FALSE))</f>
        <v>0.792818</v>
      </c>
      <c r="I20" s="120">
        <f>IF(OR(LEFT(H20,1)=" ",VLOOKUP('Hide - Control'!A$3,'All practice data'!A:CA,C20+52,FALSE)=0)," n/a",+((2*G20+1.96^2-1.96*SQRT(1.96^2+4*G20*(1-G20/(VLOOKUP('Hide - Control'!A$3,'All practice data'!A:CA,C20+52,FALSE)))))/(2*(((VLOOKUP('Hide - Control'!A$3,'All practice data'!A:CA,C20+52,FALSE)))+1.96^2))))</f>
        <v>0.7677010807023475</v>
      </c>
      <c r="J20" s="120">
        <f>IF(OR(LEFT(H20,1)=" ",VLOOKUP('Hide - Control'!A$3,'All practice data'!A:CA,C20+52,FALSE)=0)," n/a",+((2*G20+1.96^2+1.96*SQRT(1.96^2+4*G20*(1-G20/(VLOOKUP('Hide - Control'!A$3,'All practice data'!A:CA,C20+52,FALSE)))))/(2*((VLOOKUP('Hide - Control'!A$3,'All practice data'!A:CA,C20+52,FALSE))+1.96^2))))</f>
        <v>0.8158699630162992</v>
      </c>
      <c r="K20" s="218">
        <f>IF('Hide - Calculation'!N14="","",'Hide - Calculation'!N14)</f>
        <v>0.7796071215276097</v>
      </c>
      <c r="L20" s="155">
        <f>'Hide - Calculation'!O14</f>
        <v>0.7559681673907895</v>
      </c>
      <c r="M20" s="152">
        <f>IF(ISBLANK('Hide - Calculation'!K14),"",'Hide - Calculation'!U14)</f>
        <v>0.6907259821891785</v>
      </c>
      <c r="N20" s="160"/>
      <c r="O20" s="84"/>
      <c r="P20" s="84"/>
      <c r="Q20" s="84"/>
      <c r="R20" s="84"/>
      <c r="S20" s="84"/>
      <c r="T20" s="84"/>
      <c r="U20" s="84"/>
      <c r="V20" s="84"/>
      <c r="W20" s="84"/>
      <c r="X20" s="84"/>
      <c r="Y20" s="84"/>
      <c r="Z20" s="88"/>
      <c r="AA20" s="152">
        <f>IF(ISBLANK('Hide - Calculation'!K14),"",'Hide - Calculation'!T14)</f>
        <v>0.9068769812583923</v>
      </c>
      <c r="AB20" s="234" t="s">
        <v>48</v>
      </c>
      <c r="AC20" s="131" t="s">
        <v>505</v>
      </c>
    </row>
    <row r="21" spans="2:29" s="63" customFormat="1" ht="33.75" customHeight="1">
      <c r="B21" s="306"/>
      <c r="C21" s="137">
        <v>9</v>
      </c>
      <c r="D21" s="132" t="s">
        <v>483</v>
      </c>
      <c r="E21" s="85"/>
      <c r="F21" s="85"/>
      <c r="G21" s="221">
        <f>IF(OR(VLOOKUP('Hide - Control'!A$3,'All practice data'!A:CA,C21+4,FALSE)=" ",VLOOKUP('Hide - Control'!A$3,'All practice data'!A:CA,C21+52,FALSE)=0)," n/a",VLOOKUP('Hide - Control'!A$3,'All practice data'!A:CA,C21+4,FALSE))</f>
        <v>480</v>
      </c>
      <c r="H21" s="218">
        <f>IF(OR(VLOOKUP('Hide - Control'!A$3,'All practice data'!A:CA,C21+30,FALSE)=" ",VLOOKUP('Hide - Control'!A$3,'All practice data'!A:CA,C21+52,FALSE)=0)," n/a",VLOOKUP('Hide - Control'!A$3,'All practice data'!A:CA,C21+30,FALSE))</f>
        <v>0.6</v>
      </c>
      <c r="I21" s="120">
        <f>IF(OR(LEFT(H21,1)=" ",VLOOKUP('Hide - Control'!A$3,'All practice data'!A:CA,C21+52,FALSE)=0)," n/a",+((2*G21+1.96^2-1.96*SQRT(1.96^2+4*G21*(1-G21/(VLOOKUP('Hide - Control'!A$3,'All practice data'!A:CA,C21+52,FALSE)))))/(2*(((VLOOKUP('Hide - Control'!A$3,'All practice data'!A:CA,C21+52,FALSE)))+1.96^2))))</f>
        <v>0.56565174455384</v>
      </c>
      <c r="J21" s="120">
        <f>IF(OR(LEFT(H21,1)=" ",VLOOKUP('Hide - Control'!A$3,'All practice data'!A:CA,C21+52,FALSE)=0)," n/a",+((2*G21+1.96^2+1.96*SQRT(1.96^2+4*G21*(1-G21/(VLOOKUP('Hide - Control'!A$3,'All practice data'!A:CA,C21+52,FALSE)))))/(2*((VLOOKUP('Hide - Control'!A$3,'All practice data'!A:CA,C21+52,FALSE))+1.96^2))))</f>
        <v>0.6333924452467375</v>
      </c>
      <c r="K21" s="218">
        <f>IF('Hide - Calculation'!N15="","",'Hide - Calculation'!N15)</f>
        <v>0.5785243741765481</v>
      </c>
      <c r="L21" s="155">
        <f>'Hide - Calculation'!O15</f>
        <v>0.5147293797466616</v>
      </c>
      <c r="M21" s="152">
        <f>IF(ISBLANK('Hide - Calculation'!K15),"",'Hide - Calculation'!U15)</f>
        <v>0.3798080086708069</v>
      </c>
      <c r="N21" s="160"/>
      <c r="O21" s="84"/>
      <c r="P21" s="84"/>
      <c r="Q21" s="84"/>
      <c r="R21" s="84"/>
      <c r="S21" s="84"/>
      <c r="T21" s="84"/>
      <c r="U21" s="84"/>
      <c r="V21" s="84"/>
      <c r="W21" s="84"/>
      <c r="X21" s="84"/>
      <c r="Y21" s="84"/>
      <c r="Z21" s="88"/>
      <c r="AA21" s="152">
        <f>IF(ISBLANK('Hide - Calculation'!K15),"",'Hide - Calculation'!T15)</f>
        <v>0.6779659986495972</v>
      </c>
      <c r="AB21" s="234" t="s">
        <v>48</v>
      </c>
      <c r="AC21" s="131" t="s">
        <v>504</v>
      </c>
    </row>
    <row r="22" spans="2:29" s="63" customFormat="1" ht="33.75" customHeight="1" thickBot="1">
      <c r="B22" s="309"/>
      <c r="C22" s="180">
        <v>10</v>
      </c>
      <c r="D22" s="195" t="s">
        <v>484</v>
      </c>
      <c r="E22" s="182"/>
      <c r="F22" s="182"/>
      <c r="G22" s="222">
        <f>IF(OR(VLOOKUP('Hide - Control'!A$3,'All practice data'!A:CA,C22+4,FALSE)=" ",VLOOKUP('Hide - Control'!A$3,'All practice data'!A:CA,C22+52,FALSE)=0)," n/a",VLOOKUP('Hide - Control'!A$3,'All practice data'!A:CA,C22+4,FALSE))</f>
        <v>255</v>
      </c>
      <c r="H22" s="223">
        <f>IF(OR(VLOOKUP('Hide - Control'!A$3,'All practice data'!A:CA,C22+30,FALSE)=" ",VLOOKUP('Hide - Control'!A$3,'All practice data'!A:CA,C22+52,FALSE)=0)," n/a",VLOOKUP('Hide - Control'!A$3,'All practice data'!A:CA,C22+30,FALSE))</f>
        <v>0.648855</v>
      </c>
      <c r="I22" s="196">
        <f>IF(OR(LEFT(H22,1)=" ",VLOOKUP('Hide - Control'!A$3,'All practice data'!A:CA,C22+52,FALSE)=0)," n/a",+((2*G22+1.96^2-1.96*SQRT(1.96^2+4*G22*(1-G22/(VLOOKUP('Hide - Control'!A$3,'All practice data'!A:CA,C22+52,FALSE)))))/(2*(((VLOOKUP('Hide - Control'!A$3,'All practice data'!A:CA,C22+52,FALSE)))+1.96^2))))</f>
        <v>0.6004279357279795</v>
      </c>
      <c r="J22" s="196">
        <f>IF(OR(LEFT(H22,1)=" ",VLOOKUP('Hide - Control'!A$3,'All practice data'!A:CA,C22+52,FALSE)=0)," n/a",+((2*G22+1.96^2+1.96*SQRT(1.96^2+4*G22*(1-G22/(VLOOKUP('Hide - Control'!A$3,'All practice data'!A:CA,C22+52,FALSE)))))/(2*((VLOOKUP('Hide - Control'!A$3,'All practice data'!A:CA,C22+52,FALSE))+1.96^2))))</f>
        <v>0.6944000258566931</v>
      </c>
      <c r="K22" s="223">
        <f>IF('Hide - Calculation'!N16="","",'Hide - Calculation'!N16)</f>
        <v>0.6052025024695423</v>
      </c>
      <c r="L22" s="197">
        <f>'Hide - Calculation'!O16</f>
        <v>0.5752927626212945</v>
      </c>
      <c r="M22" s="198">
        <f>IF(ISBLANK('Hide - Calculation'!K16),"",'Hide - Calculation'!U16)</f>
        <v>0.33333298563957214</v>
      </c>
      <c r="N22" s="199"/>
      <c r="O22" s="91"/>
      <c r="P22" s="91"/>
      <c r="Q22" s="91"/>
      <c r="R22" s="91"/>
      <c r="S22" s="91"/>
      <c r="T22" s="91"/>
      <c r="U22" s="91"/>
      <c r="V22" s="91"/>
      <c r="W22" s="91"/>
      <c r="X22" s="91"/>
      <c r="Y22" s="91"/>
      <c r="Z22" s="188"/>
      <c r="AA22" s="198">
        <f>IF(ISBLANK('Hide - Calculation'!K16),"",'Hide - Calculation'!T16)</f>
        <v>0.7098979949951172</v>
      </c>
      <c r="AB22" s="235" t="s">
        <v>48</v>
      </c>
      <c r="AC22" s="189" t="s">
        <v>503</v>
      </c>
    </row>
    <row r="23" spans="2:29" s="63" customFormat="1" ht="33.75" customHeight="1">
      <c r="B23" s="308" t="s">
        <v>322</v>
      </c>
      <c r="C23" s="163">
        <v>11</v>
      </c>
      <c r="D23" s="179" t="s">
        <v>334</v>
      </c>
      <c r="E23" s="165"/>
      <c r="F23" s="165"/>
      <c r="G23" s="118">
        <f>IF(VLOOKUP('Hide - Control'!A$3,'All practice data'!A:CA,C23+4,FALSE)=" "," ",VLOOKUP('Hide - Control'!A$3,'All practice data'!A:CA,C23+4,FALSE))</f>
        <v>76</v>
      </c>
      <c r="H23" s="216">
        <f>IF(VLOOKUP('Hide - Control'!A$3,'All practice data'!A:CA,C23+30,FALSE)=" "," ",VLOOKUP('Hide - Control'!A$3,'All practice data'!A:CA,C23+30,FALSE))</f>
        <v>1692.2734357604097</v>
      </c>
      <c r="I23" s="215">
        <f>IF(LEFT(G23,1)=" "," n/a",IF(G23&lt;5,100000*VLOOKUP(G23,'Hide - Calculation'!AQ:AR,2,FALSE)/$E$8,100000*(G23*(1-1/(9*G23)-1.96/(3*SQRT(G23)))^3)/$E$8))</f>
        <v>1333.2635817694284</v>
      </c>
      <c r="J23" s="215">
        <f>IF(LEFT(G23,1)=" "," n/a",IF(G23&lt;5,100000*VLOOKUP(G23,'Hide - Calculation'!AQ:AS,3,FALSE)/$E$8,100000*((G23+1)*(1-1/(9*(G23+1))+1.96/(3*SQRT(G23+1)))^3)/$E$8))</f>
        <v>2118.1684076465854</v>
      </c>
      <c r="K23" s="216">
        <f>IF('Hide - Calculation'!N17="","",'Hide - Calculation'!N17)</f>
        <v>2078.516609282733</v>
      </c>
      <c r="L23" s="217">
        <f>'Hide - Calculation'!O17</f>
        <v>1812.1669120472948</v>
      </c>
      <c r="M23" s="170">
        <f>IF(ISBLANK('Hide - Calculation'!K17),"",'Hide - Calculation'!U17)</f>
        <v>991.7355346679688</v>
      </c>
      <c r="N23" s="171"/>
      <c r="O23" s="172"/>
      <c r="P23" s="172"/>
      <c r="Q23" s="172"/>
      <c r="R23" s="173"/>
      <c r="S23" s="173"/>
      <c r="T23" s="173"/>
      <c r="U23" s="173"/>
      <c r="V23" s="173"/>
      <c r="W23" s="173"/>
      <c r="X23" s="173"/>
      <c r="Y23" s="173"/>
      <c r="Z23" s="174"/>
      <c r="AA23" s="170">
        <f>IF(ISBLANK('Hide - Calculation'!K17),"",'Hide - Calculation'!T17)</f>
        <v>4166.66650390625</v>
      </c>
      <c r="AB23" s="233" t="s">
        <v>26</v>
      </c>
      <c r="AC23" s="175" t="s">
        <v>503</v>
      </c>
    </row>
    <row r="24" spans="2:29" s="63" customFormat="1" ht="33.75" customHeight="1">
      <c r="B24" s="306"/>
      <c r="C24" s="137">
        <v>12</v>
      </c>
      <c r="D24" s="147" t="s">
        <v>490</v>
      </c>
      <c r="E24" s="85"/>
      <c r="F24" s="85"/>
      <c r="G24" s="118">
        <f>IF(VLOOKUP('Hide - Control'!A$3,'All practice data'!A:CA,C24+4,FALSE)=" "," ",VLOOKUP('Hide - Control'!A$3,'All practice data'!A:CA,C24+4,FALSE))</f>
        <v>76</v>
      </c>
      <c r="H24" s="119">
        <f>IF(VLOOKUP('Hide - Control'!A$3,'All practice data'!A:CA,C24+30,FALSE)=" "," ",VLOOKUP('Hide - Control'!A$3,'All practice data'!A:CA,C24+30,FALSE))</f>
        <v>0.7213931274</v>
      </c>
      <c r="I24" s="212">
        <f>IF(LEFT(VLOOKUP('Hide - Control'!A$3,'All practice data'!A:CA,C24+44,FALSE),1)=" "," n/a",VLOOKUP('Hide - Control'!A$3,'All practice data'!A:CA,C24+44,FALSE))</f>
        <v>0.5683757782</v>
      </c>
      <c r="J24" s="212">
        <f>IF(LEFT(VLOOKUP('Hide - Control'!A$3,'All practice data'!A:CA,C24+45,FALSE),1)=" "," n/a",VLOOKUP('Hide - Control'!A$3,'All practice data'!A:CA,C24+45,FALSE))</f>
        <v>0.9029311371</v>
      </c>
      <c r="K24" s="152" t="s">
        <v>548</v>
      </c>
      <c r="L24" s="213">
        <v>1</v>
      </c>
      <c r="M24" s="152">
        <f>IF(ISBLANK('Hide - Calculation'!K18),"",'Hide - Calculation'!U18)</f>
        <v>0.4532563090324402</v>
      </c>
      <c r="N24" s="86"/>
      <c r="O24" s="87"/>
      <c r="P24" s="87"/>
      <c r="Q24" s="87"/>
      <c r="R24" s="84"/>
      <c r="S24" s="84"/>
      <c r="T24" s="84"/>
      <c r="U24" s="84"/>
      <c r="V24" s="84"/>
      <c r="W24" s="84"/>
      <c r="X24" s="84"/>
      <c r="Y24" s="84"/>
      <c r="Z24" s="88"/>
      <c r="AA24" s="152">
        <f>IF(ISBLANK('Hide - Calculation'!K18),"",'Hide - Calculation'!T18)</f>
        <v>1.8197444677352905</v>
      </c>
      <c r="AB24" s="234" t="s">
        <v>26</v>
      </c>
      <c r="AC24" s="131" t="s">
        <v>503</v>
      </c>
    </row>
    <row r="25" spans="2:29" s="63" customFormat="1" ht="33.75" customHeight="1">
      <c r="B25" s="306"/>
      <c r="C25" s="137">
        <v>13</v>
      </c>
      <c r="D25" s="147" t="s">
        <v>329</v>
      </c>
      <c r="E25" s="85"/>
      <c r="F25" s="85"/>
      <c r="G25" s="118">
        <f>IF(VLOOKUP('Hide - Control'!A$3,'All practice data'!A:CA,C25+4,FALSE)=" "," ",VLOOKUP('Hide - Control'!A$3,'All practice data'!A:CA,C25+4,FALSE))</f>
        <v>8</v>
      </c>
      <c r="H25" s="119">
        <f>IF(VLOOKUP('Hide - Control'!A$3,'All practice data'!A:CA,C25+30,FALSE)=" "," ",VLOOKUP('Hide - Control'!A$3,'All practice data'!A:CA,C25+30,FALSE))</f>
        <v>0.10526315789473684</v>
      </c>
      <c r="I25" s="120">
        <f>IF(LEFT(G25,1)=" "," n/a",IF(G25=0," n/a",+((2*G25+1.96^2-1.96*SQRT(1.96^2+4*G25*(1-G25/G23)))/(2*(G23+1.96^2)))))</f>
        <v>0.054310612607017986</v>
      </c>
      <c r="J25" s="120">
        <f>IF(LEFT(G25,1)=" "," n/a",IF(G25=0," n/a",+((2*G25+1.96^2+1.96*SQRT(1.96^2+4*G25*(1-G25/G23)))/(2*(G23+1.96^2)))))</f>
        <v>0.19420144125963798</v>
      </c>
      <c r="K25" s="125">
        <f>IF('Hide - Calculation'!N19="","",'Hide - Calculation'!N19)</f>
        <v>0.12382009994447529</v>
      </c>
      <c r="L25" s="155">
        <f>'Hide - Calculation'!O19</f>
        <v>0.10919341638628717</v>
      </c>
      <c r="M25" s="152">
        <f>IF(ISBLANK('Hide - Calculation'!K19),"",'Hide - Calculation'!U19)</f>
        <v>0.02070442959666252</v>
      </c>
      <c r="N25" s="86"/>
      <c r="O25" s="87"/>
      <c r="P25" s="87"/>
      <c r="Q25" s="87"/>
      <c r="R25" s="84"/>
      <c r="S25" s="84"/>
      <c r="T25" s="84"/>
      <c r="U25" s="84"/>
      <c r="V25" s="84"/>
      <c r="W25" s="84"/>
      <c r="X25" s="84"/>
      <c r="Y25" s="84"/>
      <c r="Z25" s="88"/>
      <c r="AA25" s="152">
        <f>IF(ISBLANK('Hide - Calculation'!K19),"",'Hide - Calculation'!T19)</f>
        <v>0.23711340129375458</v>
      </c>
      <c r="AB25" s="234" t="s">
        <v>26</v>
      </c>
      <c r="AC25" s="131" t="s">
        <v>503</v>
      </c>
    </row>
    <row r="26" spans="2:29" s="63" customFormat="1" ht="33.75" customHeight="1">
      <c r="B26" s="306"/>
      <c r="C26" s="137">
        <v>14</v>
      </c>
      <c r="D26" s="147" t="s">
        <v>473</v>
      </c>
      <c r="E26" s="85"/>
      <c r="F26" s="85"/>
      <c r="G26" s="121">
        <f>IF(VLOOKUP('Hide - Control'!A$3,'All practice data'!A:CA,C26+4,FALSE)=" "," ",VLOOKUP('Hide - Control'!A$3,'All practice data'!A:CA,C26+4,FALSE))</f>
        <v>26</v>
      </c>
      <c r="H26" s="119">
        <f>IF(VLOOKUP('Hide - Control'!A$3,'All practice data'!A:CA,C26+30,FALSE)=" "," ",VLOOKUP('Hide - Control'!A$3,'All practice data'!A:CA,C26+30,FALSE))</f>
        <v>0.3076923076923077</v>
      </c>
      <c r="I26" s="120">
        <f>IF(OR(LEFT(G26,1)=" ",LEFT(G25,1)=" ")," n/a",IF(G26=0," n/a",+((2*G25+1.96^2-1.96*SQRT(1.96^2+4*G25*(1-G25/G26)))/(2*(G26+1.96^2)))))</f>
        <v>0.16501120939792674</v>
      </c>
      <c r="J26" s="120">
        <f>IF(OR(LEFT(G26,1)=" ",LEFT(G25,1)=" ")," n/a",IF(G26=0," n/a",+((2*G25+1.96^2+1.96*SQRT(1.96^2+4*G25*(1-G25/G26)))/(2*(G26+1.96^2)))))</f>
        <v>0.4998861151423124</v>
      </c>
      <c r="K26" s="125">
        <f>IF('Hide - Calculation'!N20="","",'Hide - Calculation'!N20)</f>
        <v>0.5130368098159509</v>
      </c>
      <c r="L26" s="155">
        <f>'Hide - Calculation'!O20</f>
        <v>0.4534552930810221</v>
      </c>
      <c r="M26" s="152">
        <f>IF(ISBLANK('Hide - Calculation'!K20),"",'Hide - Calculation'!U20)</f>
        <v>0.09238772839307785</v>
      </c>
      <c r="N26" s="86"/>
      <c r="O26" s="87"/>
      <c r="P26" s="87"/>
      <c r="Q26" s="87"/>
      <c r="R26" s="84"/>
      <c r="S26" s="84"/>
      <c r="T26" s="84"/>
      <c r="U26" s="84"/>
      <c r="V26" s="84"/>
      <c r="W26" s="84"/>
      <c r="X26" s="84"/>
      <c r="Y26" s="84"/>
      <c r="Z26" s="88"/>
      <c r="AA26" s="152">
        <f>IF(ISBLANK('Hide - Calculation'!K20),"",'Hide - Calculation'!T20)</f>
        <v>0.7647058963775635</v>
      </c>
      <c r="AB26" s="234" t="s">
        <v>26</v>
      </c>
      <c r="AC26" s="131" t="s">
        <v>503</v>
      </c>
    </row>
    <row r="27" spans="2:29" s="63" customFormat="1" ht="33.75" customHeight="1">
      <c r="B27" s="306"/>
      <c r="C27" s="137">
        <v>15</v>
      </c>
      <c r="D27" s="147" t="s">
        <v>460</v>
      </c>
      <c r="E27" s="85"/>
      <c r="F27" s="85"/>
      <c r="G27" s="121">
        <f>IF(VLOOKUP('Hide - Control'!A$3,'All practice data'!A:CA,C27+4,FALSE)=" "," ",VLOOKUP('Hide - Control'!A$3,'All practice data'!A:CA,C27+4,FALSE))</f>
        <v>17</v>
      </c>
      <c r="H27" s="122">
        <f>IF(VLOOKUP('Hide - Control'!A$3,'All practice data'!A:CA,C27+30,FALSE)=" "," ",VLOOKUP('Hide - Control'!A$3,'All practice data'!A:CA,C27+30,FALSE))</f>
        <v>378.53484747272324</v>
      </c>
      <c r="I27" s="123">
        <f>IF(LEFT(G27,1)=" "," n/a",IF(G27&lt;5,100000*VLOOKUP(G27,'Hide - Calculation'!AQ:AR,2,FALSE)/$E$8,100000*(G27*(1-1/(9*G27)-1.96/(3*SQRT(G27)))^3)/$E$8))</f>
        <v>220.38239973673356</v>
      </c>
      <c r="J27" s="123">
        <f>IF(LEFT(G27,1)=" "," n/a",IF(G27&lt;5,100000*VLOOKUP(G27,'Hide - Calculation'!AQ:AS,3,FALSE)/$E$8,100000*((G27+1)*(1-1/(9*(G27+1))+1.96/(3*SQRT(G27+1)))^3)/$E$8))</f>
        <v>606.1080097442641</v>
      </c>
      <c r="K27" s="122">
        <f>IF('Hide - Calculation'!N21="","",'Hide - Calculation'!N21)</f>
        <v>417.39598761276426</v>
      </c>
      <c r="L27" s="156">
        <f>'Hide - Calculation'!O21</f>
        <v>377.7293140102421</v>
      </c>
      <c r="M27" s="148">
        <f>IF(ISBLANK('Hide - Calculation'!K21),"",'Hide - Calculation'!U21)</f>
        <v>61.46357345581055</v>
      </c>
      <c r="N27" s="86"/>
      <c r="O27" s="87"/>
      <c r="P27" s="87"/>
      <c r="Q27" s="87"/>
      <c r="R27" s="84"/>
      <c r="S27" s="84"/>
      <c r="T27" s="84"/>
      <c r="U27" s="84"/>
      <c r="V27" s="84"/>
      <c r="W27" s="84"/>
      <c r="X27" s="84"/>
      <c r="Y27" s="84"/>
      <c r="Z27" s="88"/>
      <c r="AA27" s="148">
        <f>IF(ISBLANK('Hide - Calculation'!K21),"",'Hide - Calculation'!T21)</f>
        <v>960.6148071289062</v>
      </c>
      <c r="AB27" s="234" t="s">
        <v>26</v>
      </c>
      <c r="AC27" s="131" t="s">
        <v>503</v>
      </c>
    </row>
    <row r="28" spans="2:29" s="63" customFormat="1" ht="33.75" customHeight="1">
      <c r="B28" s="306"/>
      <c r="C28" s="137">
        <v>16</v>
      </c>
      <c r="D28" s="147" t="s">
        <v>461</v>
      </c>
      <c r="E28" s="85"/>
      <c r="F28" s="85"/>
      <c r="G28" s="121">
        <f>IF(VLOOKUP('Hide - Control'!A$3,'All practice data'!A:CA,C28+4,FALSE)=" "," ",VLOOKUP('Hide - Control'!A$3,'All practice data'!A:CA,C28+4,FALSE))</f>
        <v>18</v>
      </c>
      <c r="H28" s="122">
        <f>IF(VLOOKUP('Hide - Control'!A$3,'All practice data'!A:CA,C28+30,FALSE)=" "," ",VLOOKUP('Hide - Control'!A$3,'All practice data'!A:CA,C28+30,FALSE))</f>
        <v>400.80160320641284</v>
      </c>
      <c r="I28" s="123">
        <f>IF(LEFT(G28,1)=" "," n/a",IF(G28&lt;5,100000*VLOOKUP(G28,'Hide - Calculation'!AQ:AR,2,FALSE)/$E$8,100000*(G28*(1-1/(9*G28)-1.96/(3*SQRT(G28)))^3)/$E$8))</f>
        <v>237.41676659275652</v>
      </c>
      <c r="J28" s="123">
        <f>IF(LEFT(G28,1)=" "," n/a",IF(G28&lt;5,100000*VLOOKUP(G28,'Hide - Calculation'!AQ:AS,3,FALSE)/$E$8,100000*((G28+1)*(1-1/(9*(G28+1))+1.96/(3*SQRT(G28+1)))^3)/$E$8))</f>
        <v>633.4768510518711</v>
      </c>
      <c r="K28" s="122">
        <f>IF('Hide - Calculation'!N22="","",'Hide - Calculation'!N22)</f>
        <v>312.3737713747139</v>
      </c>
      <c r="L28" s="156">
        <f>'Hide - Calculation'!O22</f>
        <v>282.45290788403287</v>
      </c>
      <c r="M28" s="148">
        <f>IF(ISBLANK('Hide - Calculation'!K22),"",'Hide - Calculation'!U22)</f>
        <v>18.07059669494629</v>
      </c>
      <c r="N28" s="86"/>
      <c r="O28" s="87"/>
      <c r="P28" s="87"/>
      <c r="Q28" s="87"/>
      <c r="R28" s="84"/>
      <c r="S28" s="84"/>
      <c r="T28" s="84"/>
      <c r="U28" s="84"/>
      <c r="V28" s="84"/>
      <c r="W28" s="84"/>
      <c r="X28" s="84"/>
      <c r="Y28" s="84"/>
      <c r="Z28" s="88"/>
      <c r="AA28" s="148">
        <f>IF(ISBLANK('Hide - Calculation'!K22),"",'Hide - Calculation'!T22)</f>
        <v>652.7651977539062</v>
      </c>
      <c r="AB28" s="234" t="s">
        <v>26</v>
      </c>
      <c r="AC28" s="131" t="s">
        <v>503</v>
      </c>
    </row>
    <row r="29" spans="2:29" s="63" customFormat="1" ht="33.75" customHeight="1">
      <c r="B29" s="306"/>
      <c r="C29" s="137">
        <v>17</v>
      </c>
      <c r="D29" s="147" t="s">
        <v>462</v>
      </c>
      <c r="E29" s="85"/>
      <c r="F29" s="85"/>
      <c r="G29" s="121" t="str">
        <f>IF(VLOOKUP('Hide - Control'!A$3,'All practice data'!A:CA,C29+4,FALSE)=" "," ",VLOOKUP('Hide - Control'!A$3,'All practice data'!A:CA,C29+4,FALSE))</f>
        <v> Removed</v>
      </c>
      <c r="H29" s="122" t="str">
        <f>IF(VLOOKUP('Hide - Control'!A$3,'All practice data'!A:CA,C29+30,FALSE)=" "," ",VLOOKUP('Hide - Control'!A$3,'All practice data'!A:CA,C29+30,FALSE))</f>
        <v> Removed</v>
      </c>
      <c r="I29" s="123" t="str">
        <f>IF(LEFT(G29,1)=" "," n/a",IF(G29&lt;5,100000*VLOOKUP(G29,'Hide - Calculation'!AQ:AR,2,FALSE)/$E$8,100000*(G29*(1-1/(9*G29)-1.96/(3*SQRT(G29)))^3)/$E$8))</f>
        <v> n/a</v>
      </c>
      <c r="J29" s="123" t="str">
        <f>IF(LEFT(G29,1)=" "," n/a",IF(G29&lt;5,100000*VLOOKUP(G29,'Hide - Calculation'!AQ:AS,3,FALSE)/$E$8,100000*((G29+1)*(1-1/(9*(G29+1))+1.96/(3*SQRT(G29+1)))^3)/$E$8))</f>
        <v> n/a</v>
      </c>
      <c r="K29" s="122">
        <f>IF('Hide - Calculation'!N23="","",'Hide - Calculation'!N23)</f>
        <v>97.32828098251554</v>
      </c>
      <c r="L29" s="156">
        <f>'Hide - Calculation'!O23</f>
        <v>70.46674929228394</v>
      </c>
      <c r="M29" s="148">
        <f>IF(ISBLANK('Hide - Calculation'!K23),"",'Hide - Calculation'!U23)</f>
        <v>3.248678207397461</v>
      </c>
      <c r="N29" s="86"/>
      <c r="O29" s="87"/>
      <c r="P29" s="87"/>
      <c r="Q29" s="87"/>
      <c r="R29" s="84"/>
      <c r="S29" s="84"/>
      <c r="T29" s="84"/>
      <c r="U29" s="84"/>
      <c r="V29" s="84"/>
      <c r="W29" s="84"/>
      <c r="X29" s="84"/>
      <c r="Y29" s="84"/>
      <c r="Z29" s="88"/>
      <c r="AA29" s="148">
        <f>IF(ISBLANK('Hide - Calculation'!K23),"",'Hide - Calculation'!T23)</f>
        <v>240.15370178222656</v>
      </c>
      <c r="AB29" s="234" t="s">
        <v>26</v>
      </c>
      <c r="AC29" s="131" t="s">
        <v>503</v>
      </c>
    </row>
    <row r="30" spans="2:29" s="63" customFormat="1" ht="33.75" customHeight="1" thickBot="1">
      <c r="B30" s="309"/>
      <c r="C30" s="180">
        <v>18</v>
      </c>
      <c r="D30" s="181" t="s">
        <v>463</v>
      </c>
      <c r="E30" s="182"/>
      <c r="F30" s="182"/>
      <c r="G30" s="183">
        <f>IF(VLOOKUP('Hide - Control'!A$3,'All practice data'!A:CA,C30+4,FALSE)=" "," ",VLOOKUP('Hide - Control'!A$3,'All practice data'!A:CA,C30+4,FALSE))</f>
        <v>10</v>
      </c>
      <c r="H30" s="184">
        <f>IF(VLOOKUP('Hide - Control'!A$3,'All practice data'!A:CA,C30+30,FALSE)=" "," ",VLOOKUP('Hide - Control'!A$3,'All practice data'!A:CA,C30+30,FALSE))</f>
        <v>222.667557336896</v>
      </c>
      <c r="I30" s="185">
        <f>IF(LEFT(G30,1)=" "," n/a",IF(G30&lt;5,100000*VLOOKUP(G30,'Hide - Calculation'!AQ:AR,2,FALSE)/$E$8,100000*(G30*(1-1/(9*G30)-1.96/(3*SQRT(G30)))^3)/$E$8))</f>
        <v>106.59942586358498</v>
      </c>
      <c r="J30" s="185">
        <f>IF(LEFT(G30,1)=" "," n/a",IF(G30&lt;5,100000*VLOOKUP(G30,'Hide - Calculation'!AQ:AS,3,FALSE)/$E$8,100000*((G30+1)*(1-1/(9*(G30+1))+1.96/(3*SQRT(G30+1)))^3)/$E$8))</f>
        <v>409.52186314964416</v>
      </c>
      <c r="K30" s="184">
        <f>IF('Hide - Calculation'!N24="","",'Hide - Calculation'!N24)</f>
        <v>382.77327896285755</v>
      </c>
      <c r="L30" s="186">
        <f>'Hide - Calculation'!O24</f>
        <v>323.23046266988894</v>
      </c>
      <c r="M30" s="187">
        <f>IF(ISBLANK('Hide - Calculation'!K24),"",'Hide - Calculation'!U24)</f>
        <v>105.31858825683594</v>
      </c>
      <c r="N30" s="89"/>
      <c r="O30" s="90"/>
      <c r="P30" s="90"/>
      <c r="Q30" s="90"/>
      <c r="R30" s="91"/>
      <c r="S30" s="91"/>
      <c r="T30" s="91"/>
      <c r="U30" s="91"/>
      <c r="V30" s="91"/>
      <c r="W30" s="91"/>
      <c r="X30" s="91"/>
      <c r="Y30" s="91"/>
      <c r="Z30" s="188"/>
      <c r="AA30" s="230">
        <f>IF(ISBLANK('Hide - Calculation'!K24),"",'Hide - Calculation'!T24)</f>
        <v>960.6148071289062</v>
      </c>
      <c r="AB30" s="235" t="s">
        <v>26</v>
      </c>
      <c r="AC30" s="189" t="s">
        <v>503</v>
      </c>
    </row>
    <row r="31" spans="2:29" s="63" customFormat="1" ht="33.75" customHeight="1">
      <c r="B31" s="304" t="s">
        <v>331</v>
      </c>
      <c r="C31" s="163">
        <v>19</v>
      </c>
      <c r="D31" s="164" t="s">
        <v>335</v>
      </c>
      <c r="E31" s="165"/>
      <c r="F31" s="165"/>
      <c r="G31" s="166">
        <f>IF(VLOOKUP('Hide - Control'!A$3,'All practice data'!A:CA,C31+4,FALSE)=" "," ",VLOOKUP('Hide - Control'!A$3,'All practice data'!A:CA,C31+4,FALSE))</f>
        <v>18</v>
      </c>
      <c r="H31" s="167">
        <f>IF(VLOOKUP('Hide - Control'!A$3,'All practice data'!A:CA,C31+30,FALSE)=" "," ",VLOOKUP('Hide - Control'!A$3,'All practice data'!A:CA,C31+30,FALSE))</f>
        <v>400.80160320641284</v>
      </c>
      <c r="I31" s="168">
        <f>IF(LEFT(G31,1)=" "," n/a",IF(G31&lt;5,100000*VLOOKUP(G31,'Hide - Calculation'!AQ:AR,2,FALSE)/$E$8,100000*(G31*(1-1/(9*G31)-1.96/(3*SQRT(G31)))^3)/$E$8))</f>
        <v>237.41676659275652</v>
      </c>
      <c r="J31" s="168">
        <f>IF(LEFT(G31,1)=" "," n/a",IF(G31&lt;5,100000*VLOOKUP(G31,'Hide - Calculation'!AQ:AS,3,FALSE)/$E$8,100000*((G31+1)*(1-1/(9*(G31+1))+1.96/(3*SQRT(G31+1)))^3)/$E$8))</f>
        <v>633.4768510518711</v>
      </c>
      <c r="K31" s="167">
        <f>IF('Hide - Calculation'!N25="","",'Hide - Calculation'!N25)</f>
        <v>444.32476100713615</v>
      </c>
      <c r="L31" s="169">
        <f>'Hide - Calculation'!O25</f>
        <v>562.6134400960308</v>
      </c>
      <c r="M31" s="170">
        <f>IF(ISBLANK('Hide - Calculation'!K25),"",'Hide - Calculation'!U25)</f>
        <v>258.06451416015625</v>
      </c>
      <c r="N31" s="171"/>
      <c r="O31" s="172"/>
      <c r="P31" s="172"/>
      <c r="Q31" s="172"/>
      <c r="R31" s="173"/>
      <c r="S31" s="173"/>
      <c r="T31" s="173"/>
      <c r="U31" s="173"/>
      <c r="V31" s="173"/>
      <c r="W31" s="173"/>
      <c r="X31" s="173"/>
      <c r="Y31" s="173"/>
      <c r="Z31" s="174"/>
      <c r="AA31" s="170">
        <f>IF(ISBLANK('Hide - Calculation'!K25),"",'Hide - Calculation'!T25)</f>
        <v>962.7894897460938</v>
      </c>
      <c r="AB31" s="233" t="s">
        <v>47</v>
      </c>
      <c r="AC31" s="175" t="s">
        <v>503</v>
      </c>
    </row>
    <row r="32" spans="2:29" s="63" customFormat="1" ht="33.75" customHeight="1">
      <c r="B32" s="305"/>
      <c r="C32" s="137">
        <v>20</v>
      </c>
      <c r="D32" s="132" t="s">
        <v>336</v>
      </c>
      <c r="E32" s="85"/>
      <c r="F32" s="85"/>
      <c r="G32" s="121">
        <f>IF(VLOOKUP('Hide - Control'!A$3,'All practice data'!A:CA,C32+4,FALSE)=" "," ",VLOOKUP('Hide - Control'!A$3,'All practice data'!A:CA,C32+4,FALSE))</f>
        <v>39</v>
      </c>
      <c r="H32" s="122">
        <f>IF(VLOOKUP('Hide - Control'!A$3,'All practice data'!A:CA,C32+30,FALSE)=" "," ",VLOOKUP('Hide - Control'!A$3,'All practice data'!A:CA,C32+30,FALSE))</f>
        <v>868.4034736138944</v>
      </c>
      <c r="I32" s="123">
        <f>IF(LEFT(G32,1)=" "," n/a",IF(G32&lt;5,100000*VLOOKUP(G32,'Hide - Calculation'!AQ:AR,2,FALSE)/$E$8,100000*(G32*(1-1/(9*G32)-1.96/(3*SQRT(G32)))^3)/$E$8))</f>
        <v>617.4414293089652</v>
      </c>
      <c r="J32" s="123">
        <f>IF(LEFT(G32,1)=" "," n/a",IF(G32&lt;5,100000*VLOOKUP(G32,'Hide - Calculation'!AQ:AS,3,FALSE)/$E$8,100000*((G32+1)*(1-1/(9*(G32+1))+1.96/(3*SQRT(G32+1)))^3)/$E$8))</f>
        <v>1187.1747543159252</v>
      </c>
      <c r="K32" s="122">
        <f>IF('Hide - Calculation'!N26="","",'Hide - Calculation'!N26)</f>
        <v>705.9185596953201</v>
      </c>
      <c r="L32" s="156">
        <f>'Hide - Calculation'!O26</f>
        <v>405.57105879375996</v>
      </c>
      <c r="M32" s="148">
        <f>IF(ISBLANK('Hide - Calculation'!K26),"",'Hide - Calculation'!U26)</f>
        <v>306.96575927734375</v>
      </c>
      <c r="N32" s="86"/>
      <c r="O32" s="87"/>
      <c r="P32" s="87"/>
      <c r="Q32" s="87"/>
      <c r="R32" s="84"/>
      <c r="S32" s="84"/>
      <c r="T32" s="84"/>
      <c r="U32" s="84"/>
      <c r="V32" s="84"/>
      <c r="W32" s="84"/>
      <c r="X32" s="84"/>
      <c r="Y32" s="84"/>
      <c r="Z32" s="88"/>
      <c r="AA32" s="148">
        <f>IF(ISBLANK('Hide - Calculation'!K26),"",'Hide - Calculation'!T26)</f>
        <v>1404.00146484375</v>
      </c>
      <c r="AB32" s="234" t="s">
        <v>47</v>
      </c>
      <c r="AC32" s="131" t="s">
        <v>503</v>
      </c>
    </row>
    <row r="33" spans="2:29" s="63" customFormat="1" ht="33.75" customHeight="1">
      <c r="B33" s="305"/>
      <c r="C33" s="137">
        <v>21</v>
      </c>
      <c r="D33" s="132" t="s">
        <v>338</v>
      </c>
      <c r="E33" s="85"/>
      <c r="F33" s="85"/>
      <c r="G33" s="121">
        <f>IF(VLOOKUP('Hide - Control'!A$3,'All practice data'!A:CA,C33+4,FALSE)=" "," ",VLOOKUP('Hide - Control'!A$3,'All practice data'!A:CA,C33+4,FALSE))</f>
        <v>46</v>
      </c>
      <c r="H33" s="122">
        <f>IF(VLOOKUP('Hide - Control'!A$3,'All practice data'!A:CA,C33+30,FALSE)=" "," ",VLOOKUP('Hide - Control'!A$3,'All practice data'!A:CA,C33+30,FALSE))</f>
        <v>1024.2707637497217</v>
      </c>
      <c r="I33" s="123">
        <f>IF(LEFT(G33,1)=" "," n/a",IF(G33&lt;5,100000*VLOOKUP(G33,'Hide - Calculation'!AQ:AR,2,FALSE)/$E$8,100000*(G33*(1-1/(9*G33)-1.96/(3*SQRT(G33)))^3)/$E$8))</f>
        <v>749.8233996067024</v>
      </c>
      <c r="J33" s="123">
        <f>IF(LEFT(G33,1)=" "," n/a",IF(G33&lt;5,100000*VLOOKUP(G33,'Hide - Calculation'!AQ:AS,3,FALSE)/$E$8,100000*((G33+1)*(1-1/(9*(G33+1))+1.96/(3*SQRT(G33+1)))^3)/$E$8))</f>
        <v>1366.2717337092026</v>
      </c>
      <c r="K33" s="122">
        <f>IF('Hide - Calculation'!N27="","",'Hide - Calculation'!N27)</f>
        <v>1321.433380138106</v>
      </c>
      <c r="L33" s="156">
        <f>'Hide - Calculation'!O27</f>
        <v>1059.3522061277838</v>
      </c>
      <c r="M33" s="148">
        <f>IF(ISBLANK('Hide - Calculation'!K27),"",'Hide - Calculation'!U27)</f>
        <v>637.5442504882812</v>
      </c>
      <c r="N33" s="86"/>
      <c r="O33" s="87"/>
      <c r="P33" s="87"/>
      <c r="Q33" s="87"/>
      <c r="R33" s="84"/>
      <c r="S33" s="84"/>
      <c r="T33" s="84"/>
      <c r="U33" s="84"/>
      <c r="V33" s="84"/>
      <c r="W33" s="84"/>
      <c r="X33" s="84"/>
      <c r="Y33" s="84"/>
      <c r="Z33" s="88"/>
      <c r="AA33" s="148">
        <f>IF(ISBLANK('Hide - Calculation'!K27),"",'Hide - Calculation'!T27)</f>
        <v>2219.202880859375</v>
      </c>
      <c r="AB33" s="234" t="s">
        <v>47</v>
      </c>
      <c r="AC33" s="131" t="s">
        <v>503</v>
      </c>
    </row>
    <row r="34" spans="2:29" s="63" customFormat="1" ht="33.75" customHeight="1">
      <c r="B34" s="305"/>
      <c r="C34" s="137">
        <v>22</v>
      </c>
      <c r="D34" s="132" t="s">
        <v>337</v>
      </c>
      <c r="E34" s="85"/>
      <c r="F34" s="85"/>
      <c r="G34" s="118">
        <f>IF(VLOOKUP('Hide - Control'!A$3,'All practice data'!A:CA,C34+4,FALSE)=" "," ",VLOOKUP('Hide - Control'!A$3,'All practice data'!A:CA,C34+4,FALSE))</f>
        <v>30</v>
      </c>
      <c r="H34" s="122">
        <f>IF(VLOOKUP('Hide - Control'!A$3,'All practice data'!A:CA,C34+30,FALSE)=" "," ",VLOOKUP('Hide - Control'!A$3,'All practice data'!A:CA,C34+30,FALSE))</f>
        <v>668.002672010688</v>
      </c>
      <c r="I34" s="123">
        <f>IF(LEFT(G34,1)=" "," n/a",IF(G34&lt;5,100000*VLOOKUP(G34,'Hide - Calculation'!AQ:AR,2,FALSE)/$E$8,100000*(G34*(1-1/(9*G34)-1.96/(3*SQRT(G34)))^3)/$E$8))</f>
        <v>450.60760110876913</v>
      </c>
      <c r="J34" s="123">
        <f>IF(LEFT(G34,1)=" "," n/a",IF(G34&lt;5,100000*VLOOKUP(G34,'Hide - Calculation'!AQ:AS,3,FALSE)/$E$8,100000*((G34+1)*(1-1/(9*(G34+1))+1.96/(3*SQRT(G34+1)))^3)/$E$8))</f>
        <v>953.6544351998832</v>
      </c>
      <c r="K34" s="122">
        <f>IF('Hide - Calculation'!N28="","",'Hide - Calculation'!N28)</f>
        <v>645.5211679393718</v>
      </c>
      <c r="L34" s="156">
        <f>'Hide - Calculation'!O28</f>
        <v>582.9390489900089</v>
      </c>
      <c r="M34" s="148">
        <f>IF(ISBLANK('Hide - Calculation'!K28),"",'Hide - Calculation'!U28)</f>
        <v>141.67649841308594</v>
      </c>
      <c r="N34" s="86"/>
      <c r="O34" s="87"/>
      <c r="P34" s="87"/>
      <c r="Q34" s="87"/>
      <c r="R34" s="84"/>
      <c r="S34" s="84"/>
      <c r="T34" s="84"/>
      <c r="U34" s="84"/>
      <c r="V34" s="84"/>
      <c r="W34" s="84"/>
      <c r="X34" s="84"/>
      <c r="Y34" s="84"/>
      <c r="Z34" s="88"/>
      <c r="AA34" s="148">
        <f>IF(ISBLANK('Hide - Calculation'!K28),"",'Hide - Calculation'!T28)</f>
        <v>1008.4840698242188</v>
      </c>
      <c r="AB34" s="234" t="s">
        <v>47</v>
      </c>
      <c r="AC34" s="131" t="s">
        <v>503</v>
      </c>
    </row>
    <row r="35" spans="2:29" s="63" customFormat="1" ht="33.75" customHeight="1">
      <c r="B35" s="305"/>
      <c r="C35" s="137">
        <v>23</v>
      </c>
      <c r="D35" s="138" t="s">
        <v>464</v>
      </c>
      <c r="E35" s="139"/>
      <c r="F35" s="139"/>
      <c r="G35" s="140" t="str">
        <f>IF(VLOOKUP('Hide - Control'!A$3,'All practice data'!A:CA,C35+4,FALSE)=" "," ",VLOOKUP('Hide - Control'!A$3,'All practice data'!A:CA,C35+4,FALSE))</f>
        <v> Removed</v>
      </c>
      <c r="H35" s="141" t="str">
        <f>IF(OR(VLOOKUP('Hide - Control'!A$3,'All practice data'!A:CA,C35+30,FALSE)=" ",SUM(G35:G37)=0)," n/a",VLOOKUP('Hide - Control'!A$3,'All practice data'!A:CA,C35+30,FALSE))</f>
        <v> n/a</v>
      </c>
      <c r="I35" s="142" t="str">
        <f>IF(OR(SUM(G$35:$G37)=0,LEFT(G35,1)=" ")," n/a",+((2*G35+1.96^2-1.96*SQRT(1.96^2+4*G35*(1-G35/SUM(G$35:G$37))))/(2*(SUM(G$35:G$37)+1.96^2))))</f>
        <v> n/a</v>
      </c>
      <c r="J35" s="142" t="str">
        <f>IF(OR(SUM(G$35:$G37)=0,LEFT(G35,1)=" ")," n/a",+((2*G35+1.96^2+1.96*SQRT(1.96^2+4*G35*(1-G35/SUM(G$35:G$37))))/(2*(SUM(G$35:G$37)+1.96^2))))</f>
        <v> n/a</v>
      </c>
      <c r="K35" s="143">
        <f>IF('Hide - Calculation'!N29="","",'Hide - Calculation'!N29)</f>
      </c>
      <c r="L35" s="292">
        <f>IF('Hide - Calculation'!O29="","",'Hide - Calculation'!O29)</f>
      </c>
      <c r="M35" s="153">
        <f>IF(ISBLANK('Hide - Calculation'!K29),"",'Hide - Calculation'!U29)</f>
      </c>
      <c r="N35" s="86"/>
      <c r="O35" s="87"/>
      <c r="P35" s="87"/>
      <c r="Q35" s="87"/>
      <c r="R35" s="84"/>
      <c r="S35" s="84"/>
      <c r="T35" s="84"/>
      <c r="U35" s="84"/>
      <c r="V35" s="84"/>
      <c r="W35" s="84"/>
      <c r="X35" s="84"/>
      <c r="Y35" s="84"/>
      <c r="Z35" s="88"/>
      <c r="AA35" s="152">
        <f>IF(ISBLANK('Hide - Calculation'!K29),"",'Hide - Calculation'!T29)</f>
      </c>
      <c r="AB35" s="234" t="s">
        <v>323</v>
      </c>
      <c r="AC35" s="131">
        <v>2008</v>
      </c>
    </row>
    <row r="36" spans="2:29" ht="33.75" customHeight="1">
      <c r="B36" s="306"/>
      <c r="C36" s="137">
        <v>24</v>
      </c>
      <c r="D36" s="224" t="s">
        <v>465</v>
      </c>
      <c r="E36" s="145"/>
      <c r="F36" s="145"/>
      <c r="G36" s="124" t="str">
        <f>IF(VLOOKUP('Hide - Control'!A$3,'All practice data'!A:CA,C36+4,FALSE)=" "," ",VLOOKUP('Hide - Control'!A$3,'All practice data'!A:CA,C36+4,FALSE))</f>
        <v> Removed</v>
      </c>
      <c r="H36" s="146" t="str">
        <f>IF(OR(VLOOKUP('Hide - Control'!A$3,'All practice data'!A:CA,C36+30,FALSE)=" ",SUM(G35:G37)=0)," n/a",VLOOKUP('Hide - Control'!A$3,'All practice data'!A:CA,C36+30,FALSE))</f>
        <v> n/a</v>
      </c>
      <c r="I36" s="120" t="str">
        <f>IF(OR(SUM(G$35:$G37)=0,LEFT(G36,1)=" ")," n/a",+((2*G36+1.96^2-1.96*SQRT(1.96^2+4*G36*(1-G36/SUM(G$35:G$37))))/(2*(SUM(G$35:G$37)+1.96^2))))</f>
        <v> n/a</v>
      </c>
      <c r="J36" s="120" t="str">
        <f>IF(OR(SUM(G$35:$G37)=0,LEFT(G36,1)=" ")," n/a",+((2*G36+1.96^2+1.96*SQRT(1.96^2+4*G36*(1-G36/SUM(G$35:G$37))))/(2*(SUM(G$35:G$37)+1.96^2))))</f>
        <v> n/a</v>
      </c>
      <c r="K36" s="146">
        <f>IF('Hide - Calculation'!N30="","",'Hide - Calculation'!N30)</f>
      </c>
      <c r="L36" s="293">
        <f>IF('Hide - Calculation'!O30="","",'Hide - Calculation'!O30)</f>
      </c>
      <c r="M36" s="152">
        <f>IF(ISBLANK('Hide - Calculation'!K30),"",'Hide - Calculation'!U30)</f>
      </c>
      <c r="N36" s="86"/>
      <c r="O36" s="87"/>
      <c r="P36" s="87"/>
      <c r="Q36" s="87"/>
      <c r="R36" s="84"/>
      <c r="S36" s="84"/>
      <c r="T36" s="84"/>
      <c r="U36" s="84"/>
      <c r="V36" s="84"/>
      <c r="W36" s="84"/>
      <c r="X36" s="84"/>
      <c r="Y36" s="84"/>
      <c r="Z36" s="88"/>
      <c r="AA36" s="152">
        <f>IF(ISBLANK('Hide - Calculation'!K30),"",'Hide - Calculation'!T30)</f>
      </c>
      <c r="AB36" s="234" t="s">
        <v>323</v>
      </c>
      <c r="AC36" s="131">
        <v>2008</v>
      </c>
    </row>
    <row r="37" spans="2:29" ht="33.75" customHeight="1" thickBot="1">
      <c r="B37" s="307"/>
      <c r="C37" s="176">
        <v>25</v>
      </c>
      <c r="D37" s="177" t="s">
        <v>339</v>
      </c>
      <c r="E37" s="178"/>
      <c r="F37" s="178"/>
      <c r="G37" s="126" t="str">
        <f>IF(VLOOKUP('Hide - Control'!A$3,'All practice data'!A:CA,C37+4,FALSE)=" "," ",VLOOKUP('Hide - Control'!A$3,'All practice data'!A:CA,C37+4,FALSE))</f>
        <v> Removed</v>
      </c>
      <c r="H37" s="127" t="str">
        <f>IF(OR(VLOOKUP('Hide - Control'!A$3,'All practice data'!A:CA,C37+30,FALSE)=" ",SUM(G35:G37)=0)," n/a",VLOOKUP('Hide - Control'!A$3,'All practice data'!A:CA,C37+30,FALSE))</f>
        <v> n/a</v>
      </c>
      <c r="I37" s="144" t="str">
        <f>IF(OR(SUM(G$35:$G37)=0,LEFT(G37,1)=" ")," n/a",+((2*G37+1.96^2-1.96*SQRT(1.96^2+4*G37*(1-G37/SUM(G$35:G$37))))/(2*(SUM(G$35:G$37)+1.96^2))))</f>
        <v> n/a</v>
      </c>
      <c r="J37" s="144" t="str">
        <f>IF(OR(SUM(G$35:$G37)=0,LEFT(G37,1)=" ")," n/a",+((2*G37+1.96^2+1.96*SQRT(1.96^2+4*G37*(1-G37/SUM(G$35:G$37))))/(2*(SUM(G$35:G$37)+1.96^2))))</f>
        <v> n/a</v>
      </c>
      <c r="K37" s="127">
        <f>IF('Hide - Calculation'!N31="","",'Hide - Calculation'!N31)</f>
      </c>
      <c r="L37" s="294">
        <f>IF('Hide - Calculation'!O31="","",'Hide - Calculation'!O31)</f>
      </c>
      <c r="M37" s="154">
        <f>IF(ISBLANK('Hide - Calculation'!K31),"",'Hide - Calculation'!U31)</f>
      </c>
      <c r="N37" s="89"/>
      <c r="O37" s="90"/>
      <c r="P37" s="90"/>
      <c r="Q37" s="90"/>
      <c r="R37" s="91"/>
      <c r="S37" s="91"/>
      <c r="T37" s="91"/>
      <c r="U37" s="91"/>
      <c r="V37" s="91"/>
      <c r="W37" s="91"/>
      <c r="X37" s="91"/>
      <c r="Y37" s="91"/>
      <c r="Z37" s="91"/>
      <c r="AA37" s="231">
        <f>IF(ISBLANK('Hide - Calculation'!K31),"",'Hide - Calculation'!T31)</f>
      </c>
      <c r="AB37" s="236" t="s">
        <v>323</v>
      </c>
      <c r="AC37" s="149">
        <v>2008</v>
      </c>
    </row>
    <row r="38" spans="2:29" ht="16.5" customHeight="1">
      <c r="B38" s="69"/>
      <c r="C38" s="69"/>
      <c r="D38" s="65" t="s">
        <v>321</v>
      </c>
      <c r="E38" s="65"/>
      <c r="F38" s="65"/>
      <c r="G38" s="111"/>
      <c r="H38" s="111"/>
      <c r="I38" s="111"/>
      <c r="J38" s="111"/>
      <c r="K38" s="92"/>
      <c r="L38" s="111"/>
      <c r="M38" s="65"/>
      <c r="N38" s="65"/>
      <c r="O38" s="65"/>
      <c r="P38" s="65"/>
      <c r="Q38" s="65"/>
      <c r="R38" s="66"/>
      <c r="S38" s="66"/>
      <c r="T38" s="66"/>
      <c r="U38" s="66"/>
      <c r="V38" s="66"/>
      <c r="W38" s="66"/>
      <c r="X38" s="66"/>
      <c r="Y38" s="66"/>
      <c r="Z38" s="66"/>
      <c r="AA38" s="66"/>
      <c r="AB38" s="82"/>
      <c r="AC38" s="83"/>
    </row>
    <row r="39" spans="2:29" ht="15.75" customHeight="1">
      <c r="B39" s="245" t="s">
        <v>547</v>
      </c>
      <c r="C39" s="244"/>
      <c r="D39" s="244"/>
      <c r="E39" s="303" t="s">
        <v>551</v>
      </c>
      <c r="F39" s="303"/>
      <c r="G39" s="303"/>
      <c r="H39" s="303"/>
      <c r="I39" s="303"/>
      <c r="J39" s="303"/>
      <c r="K39" s="303"/>
      <c r="L39" s="303"/>
      <c r="M39" s="245"/>
      <c r="N39" s="92"/>
      <c r="O39" s="92"/>
      <c r="P39" s="92"/>
      <c r="Q39" s="92"/>
      <c r="R39" s="92"/>
      <c r="S39" s="68"/>
      <c r="T39" s="68"/>
      <c r="U39" s="68"/>
      <c r="V39" s="68"/>
      <c r="W39" s="68"/>
      <c r="X39" s="68"/>
      <c r="Y39" s="68"/>
      <c r="Z39" s="68"/>
      <c r="AA39" s="68"/>
      <c r="AB39" s="66"/>
      <c r="AC39" s="66"/>
    </row>
    <row r="40" spans="2:29" s="63" customFormat="1" ht="21" customHeight="1">
      <c r="B40" s="244"/>
      <c r="C40" s="244"/>
      <c r="D40" s="244"/>
      <c r="E40" s="303"/>
      <c r="F40" s="303"/>
      <c r="G40" s="303"/>
      <c r="H40" s="303"/>
      <c r="I40" s="303"/>
      <c r="J40" s="303"/>
      <c r="K40" s="303"/>
      <c r="L40" s="303"/>
      <c r="M40" s="245"/>
      <c r="N40" s="92"/>
      <c r="O40" s="92"/>
      <c r="P40" s="92"/>
      <c r="Q40" s="92"/>
      <c r="R40" s="92"/>
      <c r="S40" s="92"/>
      <c r="T40" s="92"/>
      <c r="U40" s="92"/>
      <c r="V40" s="92"/>
      <c r="W40" s="92"/>
      <c r="X40" s="92"/>
      <c r="Y40" s="92"/>
      <c r="Z40" s="92"/>
      <c r="AA40" s="92"/>
      <c r="AB40" s="68"/>
      <c r="AC40" s="68"/>
    </row>
    <row r="41" spans="2:29" s="63" customFormat="1" ht="15.75" customHeight="1">
      <c r="B41" s="245"/>
      <c r="C41" s="244"/>
      <c r="D41" s="244"/>
      <c r="E41" s="244"/>
      <c r="F41" s="244"/>
      <c r="G41" s="244"/>
      <c r="H41" s="244"/>
      <c r="I41" s="244"/>
      <c r="J41" s="244"/>
      <c r="K41" s="329"/>
      <c r="L41" s="329"/>
      <c r="M41" s="329"/>
      <c r="N41" s="329"/>
      <c r="O41" s="329"/>
      <c r="P41" s="329"/>
      <c r="Q41" s="329"/>
      <c r="R41" s="329"/>
      <c r="S41" s="330"/>
      <c r="T41" s="330"/>
      <c r="U41" s="330"/>
      <c r="V41" s="330"/>
      <c r="W41" s="330"/>
      <c r="X41" s="330"/>
      <c r="Y41" s="330"/>
      <c r="Z41" s="330"/>
      <c r="AA41" s="330"/>
      <c r="AB41" s="92"/>
      <c r="AC41" s="92"/>
    </row>
    <row r="42" spans="28:29" ht="15.75" customHeight="1">
      <c r="AB42" s="328"/>
      <c r="AC42" s="328"/>
    </row>
    <row r="45" spans="2:15" ht="15.75" customHeight="1">
      <c r="B45" s="59"/>
      <c r="K45" s="117"/>
      <c r="L45" s="117"/>
      <c r="M45" s="62"/>
      <c r="N45" s="62"/>
      <c r="O45" s="62"/>
    </row>
    <row r="46" spans="2:15" ht="15.75" customHeight="1">
      <c r="B46" s="59"/>
      <c r="K46" s="117"/>
      <c r="L46" s="117"/>
      <c r="M46" s="62"/>
      <c r="N46" s="62"/>
      <c r="O46" s="62"/>
    </row>
    <row r="47" spans="2:15" ht="15.75" customHeight="1">
      <c r="B47" s="59"/>
      <c r="K47" s="278"/>
      <c r="L47" s="117"/>
      <c r="M47" s="62"/>
      <c r="N47" s="62"/>
      <c r="O47" s="62"/>
    </row>
    <row r="48" spans="2:15" ht="15.75" customHeight="1">
      <c r="B48" s="59"/>
      <c r="K48" s="117"/>
      <c r="L48" s="117"/>
      <c r="M48" s="62"/>
      <c r="N48" s="62"/>
      <c r="O48" s="62"/>
    </row>
    <row r="49" spans="2:15" ht="15.75" customHeight="1">
      <c r="B49" s="59"/>
      <c r="K49" s="117"/>
      <c r="L49" s="117"/>
      <c r="M49" s="62"/>
      <c r="N49" s="62"/>
      <c r="O49" s="62"/>
    </row>
    <row r="50" spans="2:15" ht="15.75" customHeight="1">
      <c r="B50" s="59"/>
      <c r="K50" s="117"/>
      <c r="L50" s="117"/>
      <c r="M50" s="62"/>
      <c r="N50" s="62"/>
      <c r="O50" s="62"/>
    </row>
    <row r="51" spans="2:15" ht="15.75" customHeight="1">
      <c r="B51" s="59"/>
      <c r="K51" s="117"/>
      <c r="L51" s="117"/>
      <c r="M51" s="62"/>
      <c r="N51" s="62"/>
      <c r="O51" s="62"/>
    </row>
    <row r="52" spans="2:15" ht="15.75" customHeight="1">
      <c r="B52" s="59"/>
      <c r="K52" s="117"/>
      <c r="L52" s="117"/>
      <c r="M52" s="62"/>
      <c r="N52" s="62"/>
      <c r="O52" s="62"/>
    </row>
    <row r="53" spans="2:15" ht="15.75" customHeight="1">
      <c r="B53" s="59"/>
      <c r="K53" s="117"/>
      <c r="L53" s="117"/>
      <c r="M53" s="62"/>
      <c r="N53" s="62"/>
      <c r="O53" s="62"/>
    </row>
    <row r="54" spans="2:15" ht="15.75" customHeight="1">
      <c r="B54" s="59"/>
      <c r="K54" s="117"/>
      <c r="L54" s="117"/>
      <c r="M54" s="62"/>
      <c r="N54" s="62"/>
      <c r="O54" s="62"/>
    </row>
    <row r="55" spans="2:15" ht="15.75" customHeight="1">
      <c r="B55" s="62"/>
      <c r="K55" s="117"/>
      <c r="L55" s="117"/>
      <c r="M55" s="62"/>
      <c r="N55" s="62"/>
      <c r="O55" s="62"/>
    </row>
    <row r="56" spans="2:15" ht="15.75" customHeight="1">
      <c r="B56" s="62"/>
      <c r="K56" s="117"/>
      <c r="L56" s="117"/>
      <c r="M56" s="62"/>
      <c r="N56" s="62"/>
      <c r="O56" s="62"/>
    </row>
    <row r="57" spans="2:15" ht="15.75" customHeight="1">
      <c r="B57" s="62"/>
      <c r="C57" s="62"/>
      <c r="D57" s="62"/>
      <c r="E57" s="62"/>
      <c r="F57" s="62"/>
      <c r="G57" s="117"/>
      <c r="H57" s="117"/>
      <c r="I57" s="117"/>
      <c r="J57" s="117"/>
      <c r="K57" s="117"/>
      <c r="L57" s="117"/>
      <c r="M57" s="62"/>
      <c r="N57" s="62"/>
      <c r="O57" s="62"/>
    </row>
    <row r="58" spans="2:15" ht="15.75" customHeight="1">
      <c r="B58" s="62"/>
      <c r="C58" s="62"/>
      <c r="D58" s="62"/>
      <c r="E58" s="62"/>
      <c r="F58" s="62"/>
      <c r="G58" s="117"/>
      <c r="H58" s="117"/>
      <c r="I58" s="117"/>
      <c r="J58" s="117"/>
      <c r="K58" s="117"/>
      <c r="L58" s="117"/>
      <c r="M58" s="62"/>
      <c r="N58" s="62"/>
      <c r="O58" s="62"/>
    </row>
    <row r="59" spans="2:15" ht="15.75" customHeight="1">
      <c r="B59" s="62"/>
      <c r="C59" s="62"/>
      <c r="D59" s="62"/>
      <c r="E59" s="62"/>
      <c r="F59" s="62"/>
      <c r="G59" s="117"/>
      <c r="H59" s="117"/>
      <c r="I59" s="117"/>
      <c r="J59" s="117"/>
      <c r="K59" s="117"/>
      <c r="L59" s="117"/>
      <c r="M59" s="62"/>
      <c r="N59" s="62"/>
      <c r="O59" s="62"/>
    </row>
    <row r="60" spans="2:15" ht="15.75" customHeight="1">
      <c r="B60" s="62"/>
      <c r="C60" s="62"/>
      <c r="D60" s="62"/>
      <c r="E60" s="62"/>
      <c r="F60" s="62"/>
      <c r="G60" s="117"/>
      <c r="H60" s="117"/>
      <c r="I60" s="117"/>
      <c r="J60" s="117"/>
      <c r="K60" s="117"/>
      <c r="L60" s="117"/>
      <c r="M60" s="62"/>
      <c r="N60" s="62"/>
      <c r="O60" s="62"/>
    </row>
    <row r="61" spans="2:15" ht="15.75" customHeight="1">
      <c r="B61" s="62"/>
      <c r="C61" s="62"/>
      <c r="D61" s="62"/>
      <c r="E61" s="62"/>
      <c r="F61" s="62"/>
      <c r="G61" s="117"/>
      <c r="H61" s="117"/>
      <c r="I61" s="117"/>
      <c r="J61" s="117"/>
      <c r="K61" s="117"/>
      <c r="L61" s="117"/>
      <c r="M61" s="62"/>
      <c r="N61" s="62"/>
      <c r="O61" s="62"/>
    </row>
    <row r="62" spans="2:15" ht="15.75" customHeight="1">
      <c r="B62" s="62"/>
      <c r="C62" s="62"/>
      <c r="D62" s="62"/>
      <c r="E62" s="62"/>
      <c r="F62" s="62"/>
      <c r="G62" s="117"/>
      <c r="H62" s="117"/>
      <c r="I62" s="117"/>
      <c r="J62" s="117"/>
      <c r="K62" s="117"/>
      <c r="L62" s="117"/>
      <c r="M62" s="62"/>
      <c r="N62" s="62"/>
      <c r="O62" s="62"/>
    </row>
    <row r="63" spans="2:15" ht="15.75" customHeight="1">
      <c r="B63" s="62"/>
      <c r="C63" s="62"/>
      <c r="D63" s="62"/>
      <c r="E63" s="62"/>
      <c r="F63" s="62"/>
      <c r="G63" s="117"/>
      <c r="H63" s="117"/>
      <c r="I63" s="117"/>
      <c r="J63" s="117"/>
      <c r="K63" s="117"/>
      <c r="L63" s="117"/>
      <c r="M63" s="62"/>
      <c r="N63" s="62"/>
      <c r="O63" s="62"/>
    </row>
    <row r="64" spans="2:15" ht="15.75" customHeight="1">
      <c r="B64" s="62"/>
      <c r="C64" s="62"/>
      <c r="D64" s="62"/>
      <c r="E64" s="62"/>
      <c r="F64" s="62"/>
      <c r="G64" s="117"/>
      <c r="H64" s="117"/>
      <c r="I64" s="117"/>
      <c r="J64" s="117"/>
      <c r="K64" s="117"/>
      <c r="L64" s="117"/>
      <c r="M64" s="62"/>
      <c r="N64" s="62"/>
      <c r="O64" s="62"/>
    </row>
    <row r="65" spans="2:15" ht="15.75" customHeight="1">
      <c r="B65" s="62"/>
      <c r="C65" s="62"/>
      <c r="D65" s="62"/>
      <c r="E65" s="62"/>
      <c r="F65" s="62"/>
      <c r="G65" s="117"/>
      <c r="H65" s="117"/>
      <c r="I65" s="117"/>
      <c r="J65" s="117"/>
      <c r="K65" s="117"/>
      <c r="L65" s="117"/>
      <c r="M65" s="62"/>
      <c r="N65" s="62"/>
      <c r="O65" s="62"/>
    </row>
    <row r="66" spans="2:15" ht="15.75" customHeight="1">
      <c r="B66" s="62"/>
      <c r="C66" s="62"/>
      <c r="D66" s="62"/>
      <c r="E66" s="62"/>
      <c r="F66" s="62"/>
      <c r="G66" s="117"/>
      <c r="H66" s="117"/>
      <c r="I66" s="117"/>
      <c r="J66" s="117"/>
      <c r="K66" s="117"/>
      <c r="L66" s="117"/>
      <c r="M66" s="62"/>
      <c r="N66" s="62"/>
      <c r="O66" s="62"/>
    </row>
    <row r="67" spans="2:15" ht="15.75" customHeight="1">
      <c r="B67" s="62"/>
      <c r="C67" s="62"/>
      <c r="D67" s="62"/>
      <c r="E67" s="62"/>
      <c r="F67" s="62"/>
      <c r="G67" s="117"/>
      <c r="H67" s="117"/>
      <c r="I67" s="117"/>
      <c r="J67" s="117"/>
      <c r="K67" s="117"/>
      <c r="L67" s="117"/>
      <c r="M67" s="62"/>
      <c r="N67" s="62"/>
      <c r="O67" s="62"/>
    </row>
    <row r="68" spans="2:15" ht="15.75" customHeight="1">
      <c r="B68" s="62"/>
      <c r="C68" s="62"/>
      <c r="D68" s="62"/>
      <c r="E68" s="62"/>
      <c r="F68" s="62"/>
      <c r="G68" s="117"/>
      <c r="H68" s="117"/>
      <c r="I68" s="117"/>
      <c r="J68" s="117"/>
      <c r="K68" s="117"/>
      <c r="L68" s="117"/>
      <c r="M68" s="62"/>
      <c r="N68" s="62"/>
      <c r="O68" s="62"/>
    </row>
    <row r="69" spans="2:15" ht="15.75" customHeight="1">
      <c r="B69" s="62"/>
      <c r="C69" s="62"/>
      <c r="D69" s="62"/>
      <c r="E69" s="62"/>
      <c r="F69" s="62"/>
      <c r="G69" s="117"/>
      <c r="H69" s="117"/>
      <c r="I69" s="117"/>
      <c r="J69" s="117"/>
      <c r="K69" s="117"/>
      <c r="L69" s="117"/>
      <c r="M69" s="62"/>
      <c r="N69" s="62"/>
      <c r="O69" s="62"/>
    </row>
    <row r="70" spans="2:15" ht="15.75" customHeight="1">
      <c r="B70" s="62"/>
      <c r="C70" s="62"/>
      <c r="D70" s="62"/>
      <c r="E70" s="62"/>
      <c r="F70" s="62"/>
      <c r="G70" s="117"/>
      <c r="H70" s="117"/>
      <c r="I70" s="117"/>
      <c r="J70" s="117"/>
      <c r="K70" s="117"/>
      <c r="L70" s="117"/>
      <c r="M70" s="62"/>
      <c r="N70" s="62"/>
      <c r="O70" s="62"/>
    </row>
    <row r="71" spans="2:15" ht="15.75" customHeight="1">
      <c r="B71" s="62"/>
      <c r="C71" s="62"/>
      <c r="D71" s="62"/>
      <c r="E71" s="62"/>
      <c r="F71" s="62"/>
      <c r="G71" s="117"/>
      <c r="H71" s="117"/>
      <c r="I71" s="117"/>
      <c r="J71" s="117"/>
      <c r="K71" s="117"/>
      <c r="L71" s="117"/>
      <c r="M71" s="62"/>
      <c r="N71" s="62"/>
      <c r="O71" s="62"/>
    </row>
    <row r="72" spans="2:15" ht="15.75" customHeight="1">
      <c r="B72" s="62"/>
      <c r="C72" s="62"/>
      <c r="D72" s="62"/>
      <c r="E72" s="62"/>
      <c r="F72" s="62"/>
      <c r="G72" s="117"/>
      <c r="H72" s="117"/>
      <c r="I72" s="117"/>
      <c r="J72" s="117"/>
      <c r="K72" s="117"/>
      <c r="L72" s="117"/>
      <c r="M72" s="62"/>
      <c r="N72" s="62"/>
      <c r="O72" s="62"/>
    </row>
    <row r="73" spans="2:15" ht="15.75" customHeight="1">
      <c r="B73" s="62"/>
      <c r="C73" s="62"/>
      <c r="D73" s="62"/>
      <c r="E73" s="62"/>
      <c r="F73" s="62"/>
      <c r="G73" s="117"/>
      <c r="H73" s="117"/>
      <c r="I73" s="117"/>
      <c r="J73" s="117"/>
      <c r="K73" s="117"/>
      <c r="L73" s="117"/>
      <c r="M73" s="62"/>
      <c r="N73" s="62"/>
      <c r="O73" s="62"/>
    </row>
    <row r="74" spans="2:15" ht="15.75" customHeight="1">
      <c r="B74" s="62"/>
      <c r="C74" s="62"/>
      <c r="D74" s="62"/>
      <c r="E74" s="62"/>
      <c r="F74" s="62"/>
      <c r="G74" s="117"/>
      <c r="H74" s="117"/>
      <c r="I74" s="117"/>
      <c r="J74" s="117"/>
      <c r="K74" s="117"/>
      <c r="L74" s="117"/>
      <c r="M74" s="62"/>
      <c r="N74" s="62"/>
      <c r="O74" s="62"/>
    </row>
    <row r="75" spans="2:15" ht="15.75" customHeight="1">
      <c r="B75" s="62"/>
      <c r="C75" s="62"/>
      <c r="D75" s="62"/>
      <c r="E75" s="62"/>
      <c r="F75" s="62"/>
      <c r="G75" s="117"/>
      <c r="H75" s="117"/>
      <c r="I75" s="117"/>
      <c r="J75" s="117"/>
      <c r="K75" s="117"/>
      <c r="L75" s="117"/>
      <c r="M75" s="62"/>
      <c r="N75" s="62"/>
      <c r="O75" s="62"/>
    </row>
    <row r="76" spans="2:15" ht="15.75" customHeight="1">
      <c r="B76" s="62"/>
      <c r="C76" s="62"/>
      <c r="D76" s="62"/>
      <c r="E76" s="62"/>
      <c r="F76" s="62"/>
      <c r="G76" s="117"/>
      <c r="H76" s="117"/>
      <c r="I76" s="117"/>
      <c r="J76" s="117"/>
      <c r="K76" s="117"/>
      <c r="L76" s="117"/>
      <c r="M76" s="62"/>
      <c r="N76" s="62"/>
      <c r="O76" s="62"/>
    </row>
    <row r="77" spans="2:15" ht="15.75" customHeight="1">
      <c r="B77" s="62"/>
      <c r="C77" s="62"/>
      <c r="D77" s="62"/>
      <c r="E77" s="62"/>
      <c r="F77" s="62"/>
      <c r="G77" s="117"/>
      <c r="H77" s="117"/>
      <c r="I77" s="117"/>
      <c r="J77" s="117"/>
      <c r="K77" s="117"/>
      <c r="L77" s="117"/>
      <c r="M77" s="62"/>
      <c r="N77" s="62"/>
      <c r="O77" s="62"/>
    </row>
    <row r="78" spans="2:15" ht="15.75" customHeight="1">
      <c r="B78" s="62"/>
      <c r="C78" s="62"/>
      <c r="D78" s="62"/>
      <c r="E78" s="62"/>
      <c r="F78" s="62"/>
      <c r="G78" s="117"/>
      <c r="H78" s="117"/>
      <c r="I78" s="117"/>
      <c r="J78" s="117"/>
      <c r="K78" s="117"/>
      <c r="L78" s="117"/>
      <c r="M78" s="62"/>
      <c r="N78" s="62"/>
      <c r="O78" s="62"/>
    </row>
    <row r="79" spans="2:15" ht="15.75" customHeight="1">
      <c r="B79" s="62"/>
      <c r="C79" s="62"/>
      <c r="D79" s="62"/>
      <c r="E79" s="62"/>
      <c r="F79" s="62"/>
      <c r="G79" s="117"/>
      <c r="H79" s="117"/>
      <c r="I79" s="117"/>
      <c r="J79" s="117"/>
      <c r="K79" s="117"/>
      <c r="L79" s="117"/>
      <c r="M79" s="62"/>
      <c r="N79" s="62"/>
      <c r="O79" s="62"/>
    </row>
    <row r="80" spans="2:15" ht="15.75" customHeight="1">
      <c r="B80" s="62"/>
      <c r="C80" s="62"/>
      <c r="D80" s="62"/>
      <c r="E80" s="62"/>
      <c r="F80" s="62"/>
      <c r="G80" s="117"/>
      <c r="H80" s="117"/>
      <c r="I80" s="117"/>
      <c r="J80" s="117"/>
      <c r="K80" s="117"/>
      <c r="L80" s="117"/>
      <c r="M80" s="62"/>
      <c r="N80" s="62"/>
      <c r="O80" s="62"/>
    </row>
    <row r="81" spans="2:15" ht="15.75" customHeight="1">
      <c r="B81" s="62"/>
      <c r="C81" s="62"/>
      <c r="D81" s="62"/>
      <c r="E81" s="62"/>
      <c r="F81" s="62"/>
      <c r="G81" s="117"/>
      <c r="H81" s="117"/>
      <c r="I81" s="117"/>
      <c r="J81" s="117"/>
      <c r="K81" s="117"/>
      <c r="L81" s="117"/>
      <c r="M81" s="62"/>
      <c r="N81" s="62"/>
      <c r="O81" s="62"/>
    </row>
    <row r="82" spans="2:15" ht="15.75" customHeight="1">
      <c r="B82" s="62"/>
      <c r="C82" s="62"/>
      <c r="D82" s="62"/>
      <c r="E82" s="62"/>
      <c r="F82" s="62"/>
      <c r="G82" s="117"/>
      <c r="H82" s="117"/>
      <c r="I82" s="117"/>
      <c r="J82" s="117"/>
      <c r="K82" s="117"/>
      <c r="L82" s="117"/>
      <c r="M82" s="62"/>
      <c r="N82" s="62"/>
      <c r="O82" s="62"/>
    </row>
    <row r="83" spans="2:15" ht="15.75" customHeight="1">
      <c r="B83" s="62"/>
      <c r="C83" s="62"/>
      <c r="D83" s="62"/>
      <c r="E83" s="62"/>
      <c r="F83" s="62"/>
      <c r="G83" s="117"/>
      <c r="H83" s="117"/>
      <c r="I83" s="117"/>
      <c r="J83" s="117"/>
      <c r="K83" s="117"/>
      <c r="L83" s="117"/>
      <c r="M83" s="62"/>
      <c r="N83" s="62"/>
      <c r="O83" s="62"/>
    </row>
    <row r="84" spans="2:15" ht="15.75" customHeight="1">
      <c r="B84" s="62"/>
      <c r="C84" s="62"/>
      <c r="D84" s="62"/>
      <c r="E84" s="62"/>
      <c r="F84" s="62"/>
      <c r="G84" s="117"/>
      <c r="H84" s="117"/>
      <c r="I84" s="117"/>
      <c r="J84" s="117"/>
      <c r="K84" s="117"/>
      <c r="L84" s="117"/>
      <c r="M84" s="62"/>
      <c r="N84" s="62"/>
      <c r="O84" s="62"/>
    </row>
    <row r="85" spans="2:15" ht="15.75" customHeight="1">
      <c r="B85" s="62"/>
      <c r="C85" s="62"/>
      <c r="D85" s="62"/>
      <c r="E85" s="62"/>
      <c r="F85" s="62"/>
      <c r="G85" s="117"/>
      <c r="H85" s="117"/>
      <c r="I85" s="117"/>
      <c r="J85" s="117"/>
      <c r="K85" s="117"/>
      <c r="L85" s="117"/>
      <c r="M85" s="62"/>
      <c r="N85" s="62"/>
      <c r="O85" s="62"/>
    </row>
    <row r="86" spans="2:15" ht="15.75" customHeight="1">
      <c r="B86" s="62"/>
      <c r="C86" s="62"/>
      <c r="D86" s="62"/>
      <c r="E86" s="62"/>
      <c r="F86" s="62"/>
      <c r="G86" s="117"/>
      <c r="H86" s="117"/>
      <c r="I86" s="117"/>
      <c r="J86" s="117"/>
      <c r="K86" s="117"/>
      <c r="L86" s="117"/>
      <c r="M86" s="62"/>
      <c r="N86" s="62"/>
      <c r="O86" s="62"/>
    </row>
  </sheetData>
  <sheetProtection/>
  <mergeCells count="21">
    <mergeCell ref="AB42:AC42"/>
    <mergeCell ref="K41:R41"/>
    <mergeCell ref="S41:W41"/>
    <mergeCell ref="X41:AA41"/>
    <mergeCell ref="Z8:AA8"/>
    <mergeCell ref="M10:AA10"/>
    <mergeCell ref="V8:X8"/>
    <mergeCell ref="N11:Z11"/>
    <mergeCell ref="T8:U8"/>
    <mergeCell ref="B13:B17"/>
    <mergeCell ref="B2:H3"/>
    <mergeCell ref="D11:F11"/>
    <mergeCell ref="B4:G7"/>
    <mergeCell ref="N8:P8"/>
    <mergeCell ref="Q8:S8"/>
    <mergeCell ref="E39:L40"/>
    <mergeCell ref="B31:B37"/>
    <mergeCell ref="B23:B30"/>
    <mergeCell ref="F8:H10"/>
    <mergeCell ref="D13:F13"/>
    <mergeCell ref="B18:B22"/>
  </mergeCells>
  <conditionalFormatting sqref="O3">
    <cfRule type="iconSet" priority="1" dxfId="0">
      <iconSet iconSet="3TrafficLights1">
        <cfvo type="percent" val="0"/>
        <cfvo type="percent" val="33"/>
        <cfvo type="percent" val="67"/>
      </iconSet>
    </cfRule>
  </conditionalFormatting>
  <hyperlinks>
    <hyperlink ref="E39:L40" r:id="rId1" display="mailto:gp.profiles@ncin.org.uk?subject=Feedback%20on%20GP%20Practice%20Profiles%20for%20Cancer"/>
  </hyperlinks>
  <printOptions/>
  <pageMargins left="0.5118110236220472" right="0.984251968503937" top="0.7480314960629921" bottom="0.984251968503937" header="0.5118110236220472" footer="0.5118110236220472"/>
  <pageSetup horizontalDpi="600" verticalDpi="600" orientation="landscape" paperSize="9" scale="35" r:id="rId3"/>
  <drawing r:id="rId2"/>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B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5" t="s">
        <v>44</v>
      </c>
      <c r="E2" s="336"/>
      <c r="F2" s="336"/>
      <c r="G2" s="336"/>
      <c r="H2" s="336"/>
      <c r="I2" s="336"/>
      <c r="J2" s="336"/>
      <c r="K2" s="336"/>
      <c r="L2" s="336"/>
      <c r="M2" s="336"/>
      <c r="N2" s="336"/>
      <c r="O2" s="336"/>
      <c r="P2" s="336"/>
      <c r="Q2" s="336"/>
      <c r="R2" s="336"/>
      <c r="S2" s="336"/>
      <c r="T2" s="336"/>
      <c r="U2" s="336"/>
      <c r="V2" s="336"/>
      <c r="W2" s="336"/>
      <c r="X2" s="336"/>
      <c r="Y2" s="336"/>
      <c r="Z2" s="336"/>
      <c r="AA2" s="336"/>
      <c r="AB2" s="336"/>
      <c r="AC2" s="337"/>
      <c r="AD2" s="338" t="s">
        <v>45</v>
      </c>
      <c r="AE2" s="339"/>
      <c r="AF2" s="339"/>
      <c r="AG2" s="339"/>
      <c r="AH2" s="339"/>
      <c r="AI2" s="339"/>
      <c r="AJ2" s="339"/>
      <c r="AK2" s="339"/>
      <c r="AL2" s="339"/>
      <c r="AM2" s="339"/>
      <c r="AN2" s="339"/>
      <c r="AO2" s="339"/>
      <c r="AP2" s="339"/>
      <c r="AQ2" s="339"/>
      <c r="AR2" s="339"/>
      <c r="AS2" s="339"/>
      <c r="AT2" s="339"/>
      <c r="AU2" s="339"/>
      <c r="AV2" s="339"/>
      <c r="AW2" s="339"/>
      <c r="AX2" s="339"/>
      <c r="AY2" s="339"/>
      <c r="AZ2" s="339"/>
      <c r="BA2" s="339"/>
      <c r="BB2" s="339"/>
      <c r="BC2" s="339"/>
      <c r="BD2" s="340" t="s">
        <v>489</v>
      </c>
      <c r="BE2" s="341"/>
      <c r="BF2" s="341"/>
      <c r="BG2" s="341"/>
      <c r="BH2" s="341"/>
      <c r="BI2" s="341"/>
      <c r="BJ2" s="342"/>
    </row>
    <row r="3" spans="1:82" s="72" customFormat="1" ht="76.5" customHeight="1">
      <c r="A3" s="266" t="s">
        <v>276</v>
      </c>
      <c r="B3" s="275" t="s">
        <v>277</v>
      </c>
      <c r="C3" s="276" t="s">
        <v>49</v>
      </c>
      <c r="D3" s="274" t="s">
        <v>474</v>
      </c>
      <c r="E3" s="267" t="s">
        <v>346</v>
      </c>
      <c r="F3" s="267" t="s">
        <v>457</v>
      </c>
      <c r="G3" s="267" t="s">
        <v>348</v>
      </c>
      <c r="H3" s="267" t="s">
        <v>349</v>
      </c>
      <c r="I3" s="267" t="s">
        <v>350</v>
      </c>
      <c r="J3" s="267" t="s">
        <v>498</v>
      </c>
      <c r="K3" s="267" t="s">
        <v>499</v>
      </c>
      <c r="L3" s="267" t="s">
        <v>500</v>
      </c>
      <c r="M3" s="267" t="s">
        <v>351</v>
      </c>
      <c r="N3" s="267" t="s">
        <v>352</v>
      </c>
      <c r="O3" s="267" t="s">
        <v>353</v>
      </c>
      <c r="P3" s="267" t="s">
        <v>488</v>
      </c>
      <c r="Q3" s="267" t="s">
        <v>354</v>
      </c>
      <c r="R3" s="267" t="s">
        <v>355</v>
      </c>
      <c r="S3" s="267" t="s">
        <v>356</v>
      </c>
      <c r="T3" s="267" t="s">
        <v>357</v>
      </c>
      <c r="U3" s="267" t="s">
        <v>358</v>
      </c>
      <c r="V3" s="267" t="s">
        <v>359</v>
      </c>
      <c r="W3" s="267" t="s">
        <v>360</v>
      </c>
      <c r="X3" s="267" t="s">
        <v>361</v>
      </c>
      <c r="Y3" s="267" t="s">
        <v>362</v>
      </c>
      <c r="Z3" s="267" t="s">
        <v>363</v>
      </c>
      <c r="AA3" s="267" t="s">
        <v>364</v>
      </c>
      <c r="AB3" s="267" t="s">
        <v>365</v>
      </c>
      <c r="AC3" s="267" t="s">
        <v>366</v>
      </c>
      <c r="AD3" s="268" t="s">
        <v>367</v>
      </c>
      <c r="AE3" s="268" t="s">
        <v>346</v>
      </c>
      <c r="AF3" s="269" t="s">
        <v>347</v>
      </c>
      <c r="AG3" s="268" t="s">
        <v>348</v>
      </c>
      <c r="AH3" s="268" t="s">
        <v>349</v>
      </c>
      <c r="AI3" s="268" t="s">
        <v>350</v>
      </c>
      <c r="AJ3" s="268" t="s">
        <v>498</v>
      </c>
      <c r="AK3" s="268" t="s">
        <v>499</v>
      </c>
      <c r="AL3" s="268" t="s">
        <v>500</v>
      </c>
      <c r="AM3" s="268" t="s">
        <v>351</v>
      </c>
      <c r="AN3" s="268" t="s">
        <v>352</v>
      </c>
      <c r="AO3" s="268" t="s">
        <v>353</v>
      </c>
      <c r="AP3" s="268" t="s">
        <v>488</v>
      </c>
      <c r="AQ3" s="268" t="s">
        <v>354</v>
      </c>
      <c r="AR3" s="268" t="s">
        <v>355</v>
      </c>
      <c r="AS3" s="268" t="s">
        <v>356</v>
      </c>
      <c r="AT3" s="268" t="s">
        <v>357</v>
      </c>
      <c r="AU3" s="268" t="s">
        <v>358</v>
      </c>
      <c r="AV3" s="268" t="s">
        <v>359</v>
      </c>
      <c r="AW3" s="268" t="s">
        <v>360</v>
      </c>
      <c r="AX3" s="268" t="s">
        <v>361</v>
      </c>
      <c r="AY3" s="270" t="s">
        <v>362</v>
      </c>
      <c r="AZ3" s="271" t="s">
        <v>363</v>
      </c>
      <c r="BA3" s="271" t="s">
        <v>364</v>
      </c>
      <c r="BB3" s="271" t="s">
        <v>365</v>
      </c>
      <c r="BC3" s="272" t="s">
        <v>366</v>
      </c>
      <c r="BD3" s="273" t="s">
        <v>486</v>
      </c>
      <c r="BE3" s="273" t="s">
        <v>487</v>
      </c>
      <c r="BF3" s="273" t="s">
        <v>494</v>
      </c>
      <c r="BG3" s="273" t="s">
        <v>495</v>
      </c>
      <c r="BH3" s="273" t="s">
        <v>493</v>
      </c>
      <c r="BI3" s="273" t="s">
        <v>496</v>
      </c>
      <c r="BJ3" s="273" t="s">
        <v>497</v>
      </c>
      <c r="BK3" s="73"/>
      <c r="BL3" s="73"/>
      <c r="BM3" s="73"/>
      <c r="BN3" s="73"/>
      <c r="BO3" s="73"/>
      <c r="BP3" s="73"/>
      <c r="BQ3" s="73"/>
      <c r="BR3" s="73"/>
      <c r="BS3" s="73"/>
      <c r="BT3" s="73"/>
      <c r="BU3" s="73"/>
      <c r="BV3" s="73"/>
      <c r="BW3" s="73"/>
      <c r="BX3" s="73"/>
      <c r="BY3" s="73"/>
      <c r="BZ3" s="73"/>
      <c r="CA3" s="73"/>
      <c r="CB3" s="73"/>
      <c r="CC3" s="73"/>
      <c r="CD3" s="73"/>
    </row>
    <row r="4" spans="1:66" ht="12.75">
      <c r="A4" s="79" t="s">
        <v>506</v>
      </c>
      <c r="B4" s="79" t="s">
        <v>282</v>
      </c>
      <c r="C4" s="79" t="s">
        <v>196</v>
      </c>
      <c r="D4" s="99">
        <v>4491</v>
      </c>
      <c r="E4" s="99">
        <v>1098</v>
      </c>
      <c r="F4" s="99" t="s">
        <v>345</v>
      </c>
      <c r="G4" s="99">
        <v>27</v>
      </c>
      <c r="H4" s="99">
        <v>15</v>
      </c>
      <c r="I4" s="99">
        <v>103</v>
      </c>
      <c r="J4" s="99">
        <v>609</v>
      </c>
      <c r="K4" s="99">
        <v>588</v>
      </c>
      <c r="L4" s="99">
        <v>861</v>
      </c>
      <c r="M4" s="99">
        <v>480</v>
      </c>
      <c r="N4" s="99">
        <v>255</v>
      </c>
      <c r="O4" s="99">
        <v>76</v>
      </c>
      <c r="P4" s="159">
        <v>76</v>
      </c>
      <c r="Q4" s="99">
        <v>8</v>
      </c>
      <c r="R4" s="99">
        <v>26</v>
      </c>
      <c r="S4" s="99">
        <v>17</v>
      </c>
      <c r="T4" s="99">
        <v>18</v>
      </c>
      <c r="U4" s="99" t="s">
        <v>550</v>
      </c>
      <c r="V4" s="99">
        <v>10</v>
      </c>
      <c r="W4" s="99">
        <v>18</v>
      </c>
      <c r="X4" s="99">
        <v>39</v>
      </c>
      <c r="Y4" s="99">
        <v>46</v>
      </c>
      <c r="Z4" s="99">
        <v>30</v>
      </c>
      <c r="AA4" s="99" t="s">
        <v>550</v>
      </c>
      <c r="AB4" s="99" t="s">
        <v>550</v>
      </c>
      <c r="AC4" s="99" t="s">
        <v>550</v>
      </c>
      <c r="AD4" s="98" t="s">
        <v>321</v>
      </c>
      <c r="AE4" s="100">
        <v>0.24448897795591182</v>
      </c>
      <c r="AF4" s="100">
        <v>0.06</v>
      </c>
      <c r="AG4" s="98">
        <v>601.2024048096192</v>
      </c>
      <c r="AH4" s="98">
        <v>334.001336005344</v>
      </c>
      <c r="AI4" s="100">
        <v>0.023</v>
      </c>
      <c r="AJ4" s="100">
        <v>0.794003</v>
      </c>
      <c r="AK4" s="100">
        <v>0.806584</v>
      </c>
      <c r="AL4" s="100">
        <v>0.792818</v>
      </c>
      <c r="AM4" s="100">
        <v>0.6</v>
      </c>
      <c r="AN4" s="100">
        <v>0.648855</v>
      </c>
      <c r="AO4" s="98">
        <v>1692.2734357604097</v>
      </c>
      <c r="AP4" s="158">
        <v>0.7213931274</v>
      </c>
      <c r="AQ4" s="100">
        <v>0.10526315789473684</v>
      </c>
      <c r="AR4" s="100">
        <v>0.3076923076923077</v>
      </c>
      <c r="AS4" s="98">
        <v>378.53484747272324</v>
      </c>
      <c r="AT4" s="98">
        <v>400.80160320641284</v>
      </c>
      <c r="AU4" s="98" t="s">
        <v>550</v>
      </c>
      <c r="AV4" s="98">
        <v>222.667557336896</v>
      </c>
      <c r="AW4" s="98">
        <v>400.80160320641284</v>
      </c>
      <c r="AX4" s="98">
        <v>868.4034736138944</v>
      </c>
      <c r="AY4" s="98">
        <v>1024.2707637497217</v>
      </c>
      <c r="AZ4" s="98">
        <v>668.002672010688</v>
      </c>
      <c r="BA4" s="100" t="s">
        <v>550</v>
      </c>
      <c r="BB4" s="100" t="s">
        <v>550</v>
      </c>
      <c r="BC4" s="100" t="s">
        <v>550</v>
      </c>
      <c r="BD4" s="158">
        <v>0.5683757782</v>
      </c>
      <c r="BE4" s="158">
        <v>0.9029311371</v>
      </c>
      <c r="BF4" s="162">
        <v>767</v>
      </c>
      <c r="BG4" s="162">
        <v>729</v>
      </c>
      <c r="BH4" s="162">
        <v>1086</v>
      </c>
      <c r="BI4" s="162">
        <v>800</v>
      </c>
      <c r="BJ4" s="162">
        <v>393</v>
      </c>
      <c r="BK4" s="97"/>
      <c r="BL4" s="97"/>
      <c r="BM4" s="97"/>
      <c r="BN4" s="97"/>
    </row>
    <row r="5" spans="1:66" ht="12.75">
      <c r="A5" s="79" t="s">
        <v>515</v>
      </c>
      <c r="B5" s="79" t="s">
        <v>291</v>
      </c>
      <c r="C5" s="79" t="s">
        <v>196</v>
      </c>
      <c r="D5" s="99">
        <v>11394</v>
      </c>
      <c r="E5" s="99">
        <v>1922</v>
      </c>
      <c r="F5" s="99" t="s">
        <v>343</v>
      </c>
      <c r="G5" s="99">
        <v>50</v>
      </c>
      <c r="H5" s="99">
        <v>21</v>
      </c>
      <c r="I5" s="99">
        <v>222</v>
      </c>
      <c r="J5" s="99">
        <v>932</v>
      </c>
      <c r="K5" s="99">
        <v>33</v>
      </c>
      <c r="L5" s="99">
        <v>2390</v>
      </c>
      <c r="M5" s="99">
        <v>679</v>
      </c>
      <c r="N5" s="99">
        <v>347</v>
      </c>
      <c r="O5" s="99">
        <v>149</v>
      </c>
      <c r="P5" s="159">
        <v>149</v>
      </c>
      <c r="Q5" s="99">
        <v>27</v>
      </c>
      <c r="R5" s="99">
        <v>47</v>
      </c>
      <c r="S5" s="99">
        <v>41</v>
      </c>
      <c r="T5" s="99">
        <v>14</v>
      </c>
      <c r="U5" s="99">
        <v>16</v>
      </c>
      <c r="V5" s="99">
        <v>12</v>
      </c>
      <c r="W5" s="99">
        <v>47</v>
      </c>
      <c r="X5" s="99">
        <v>67</v>
      </c>
      <c r="Y5" s="99">
        <v>93</v>
      </c>
      <c r="Z5" s="99">
        <v>62</v>
      </c>
      <c r="AA5" s="99" t="s">
        <v>550</v>
      </c>
      <c r="AB5" s="99" t="s">
        <v>550</v>
      </c>
      <c r="AC5" s="99" t="s">
        <v>550</v>
      </c>
      <c r="AD5" s="98" t="s">
        <v>321</v>
      </c>
      <c r="AE5" s="100">
        <v>0.16868527295067579</v>
      </c>
      <c r="AF5" s="100">
        <v>0.11</v>
      </c>
      <c r="AG5" s="98">
        <v>438.8274530454625</v>
      </c>
      <c r="AH5" s="98">
        <v>184.30753027909427</v>
      </c>
      <c r="AI5" s="100">
        <v>0.019</v>
      </c>
      <c r="AJ5" s="100">
        <v>0.712538</v>
      </c>
      <c r="AK5" s="100">
        <v>0.702128</v>
      </c>
      <c r="AL5" s="100">
        <v>0.785926</v>
      </c>
      <c r="AM5" s="100">
        <v>0.594051</v>
      </c>
      <c r="AN5" s="100">
        <v>0.617438</v>
      </c>
      <c r="AO5" s="98">
        <v>1307.7058100754782</v>
      </c>
      <c r="AP5" s="158">
        <v>0.6877845001</v>
      </c>
      <c r="AQ5" s="100">
        <v>0.18120805369127516</v>
      </c>
      <c r="AR5" s="100">
        <v>0.574468085106383</v>
      </c>
      <c r="AS5" s="98">
        <v>359.8385114972793</v>
      </c>
      <c r="AT5" s="98">
        <v>122.87168685272951</v>
      </c>
      <c r="AU5" s="98">
        <v>140.424784974548</v>
      </c>
      <c r="AV5" s="98">
        <v>105.318588730911</v>
      </c>
      <c r="AW5" s="98">
        <v>412.49780586273477</v>
      </c>
      <c r="AX5" s="98">
        <v>588.0287870809198</v>
      </c>
      <c r="AY5" s="98">
        <v>816.2190626645603</v>
      </c>
      <c r="AZ5" s="98">
        <v>544.1460417763735</v>
      </c>
      <c r="BA5" s="100" t="s">
        <v>550</v>
      </c>
      <c r="BB5" s="100" t="s">
        <v>550</v>
      </c>
      <c r="BC5" s="100" t="s">
        <v>550</v>
      </c>
      <c r="BD5" s="158">
        <v>0.5817842484</v>
      </c>
      <c r="BE5" s="158">
        <v>0.8075108337</v>
      </c>
      <c r="BF5" s="162">
        <v>1308</v>
      </c>
      <c r="BG5" s="162">
        <v>47</v>
      </c>
      <c r="BH5" s="162">
        <v>3041</v>
      </c>
      <c r="BI5" s="162">
        <v>1143</v>
      </c>
      <c r="BJ5" s="162">
        <v>562</v>
      </c>
      <c r="BK5" s="97"/>
      <c r="BL5" s="97"/>
      <c r="BM5" s="97"/>
      <c r="BN5" s="97"/>
    </row>
    <row r="6" spans="1:66" ht="12.75">
      <c r="A6" s="79" t="s">
        <v>508</v>
      </c>
      <c r="B6" s="79" t="s">
        <v>284</v>
      </c>
      <c r="C6" s="79" t="s">
        <v>196</v>
      </c>
      <c r="D6" s="99">
        <v>5026</v>
      </c>
      <c r="E6" s="99">
        <v>947</v>
      </c>
      <c r="F6" s="99" t="s">
        <v>345</v>
      </c>
      <c r="G6" s="99">
        <v>27</v>
      </c>
      <c r="H6" s="99">
        <v>10</v>
      </c>
      <c r="I6" s="99">
        <v>92</v>
      </c>
      <c r="J6" s="99">
        <v>544</v>
      </c>
      <c r="K6" s="99">
        <v>11</v>
      </c>
      <c r="L6" s="99">
        <v>1065</v>
      </c>
      <c r="M6" s="99">
        <v>412</v>
      </c>
      <c r="N6" s="99">
        <v>213</v>
      </c>
      <c r="O6" s="99">
        <v>103</v>
      </c>
      <c r="P6" s="159">
        <v>103</v>
      </c>
      <c r="Q6" s="99">
        <v>10</v>
      </c>
      <c r="R6" s="99">
        <v>21</v>
      </c>
      <c r="S6" s="99">
        <v>36</v>
      </c>
      <c r="T6" s="99">
        <v>10</v>
      </c>
      <c r="U6" s="99" t="s">
        <v>550</v>
      </c>
      <c r="V6" s="99">
        <v>23</v>
      </c>
      <c r="W6" s="99">
        <v>21</v>
      </c>
      <c r="X6" s="99">
        <v>32</v>
      </c>
      <c r="Y6" s="99">
        <v>54</v>
      </c>
      <c r="Z6" s="99">
        <v>36</v>
      </c>
      <c r="AA6" s="99" t="s">
        <v>550</v>
      </c>
      <c r="AB6" s="99" t="s">
        <v>550</v>
      </c>
      <c r="AC6" s="99" t="s">
        <v>550</v>
      </c>
      <c r="AD6" s="98" t="s">
        <v>321</v>
      </c>
      <c r="AE6" s="100">
        <v>0.18842021488261043</v>
      </c>
      <c r="AF6" s="100">
        <v>0.06</v>
      </c>
      <c r="AG6" s="98">
        <v>537.2065260644648</v>
      </c>
      <c r="AH6" s="98">
        <v>198.96538002387584</v>
      </c>
      <c r="AI6" s="100">
        <v>0.018000000000000002</v>
      </c>
      <c r="AJ6" s="100">
        <v>0.715789</v>
      </c>
      <c r="AK6" s="100">
        <v>0.916667</v>
      </c>
      <c r="AL6" s="100">
        <v>0.832682</v>
      </c>
      <c r="AM6" s="100">
        <v>0.598837</v>
      </c>
      <c r="AN6" s="100">
        <v>0.603399</v>
      </c>
      <c r="AO6" s="98">
        <v>2049.3434142459214</v>
      </c>
      <c r="AP6" s="158">
        <v>0.9784205627</v>
      </c>
      <c r="AQ6" s="100">
        <v>0.0970873786407767</v>
      </c>
      <c r="AR6" s="100">
        <v>0.47619047619047616</v>
      </c>
      <c r="AS6" s="98">
        <v>716.275368085953</v>
      </c>
      <c r="AT6" s="98">
        <v>198.96538002387584</v>
      </c>
      <c r="AU6" s="98" t="s">
        <v>550</v>
      </c>
      <c r="AV6" s="98">
        <v>457.62037405491446</v>
      </c>
      <c r="AW6" s="98">
        <v>417.8272980501393</v>
      </c>
      <c r="AX6" s="98">
        <v>636.6892160764027</v>
      </c>
      <c r="AY6" s="98">
        <v>1074.4130521289296</v>
      </c>
      <c r="AZ6" s="98">
        <v>716.275368085953</v>
      </c>
      <c r="BA6" s="101" t="s">
        <v>550</v>
      </c>
      <c r="BB6" s="101" t="s">
        <v>550</v>
      </c>
      <c r="BC6" s="101" t="s">
        <v>550</v>
      </c>
      <c r="BD6" s="158">
        <v>0.7986185455</v>
      </c>
      <c r="BE6" s="158">
        <v>1.186619492</v>
      </c>
      <c r="BF6" s="162">
        <v>760</v>
      </c>
      <c r="BG6" s="162">
        <v>12</v>
      </c>
      <c r="BH6" s="162">
        <v>1279</v>
      </c>
      <c r="BI6" s="162">
        <v>688</v>
      </c>
      <c r="BJ6" s="162">
        <v>353</v>
      </c>
      <c r="BK6" s="97"/>
      <c r="BL6" s="97"/>
      <c r="BM6" s="97"/>
      <c r="BN6" s="97"/>
    </row>
    <row r="7" spans="1:66" ht="12.75">
      <c r="A7" s="79" t="s">
        <v>553</v>
      </c>
      <c r="B7" s="79" t="s">
        <v>300</v>
      </c>
      <c r="C7" s="79" t="s">
        <v>196</v>
      </c>
      <c r="D7" s="99">
        <v>17238</v>
      </c>
      <c r="E7" s="99">
        <v>3261</v>
      </c>
      <c r="F7" s="99" t="s">
        <v>344</v>
      </c>
      <c r="G7" s="99">
        <v>95</v>
      </c>
      <c r="H7" s="99">
        <v>55</v>
      </c>
      <c r="I7" s="99">
        <v>305</v>
      </c>
      <c r="J7" s="99">
        <v>1517</v>
      </c>
      <c r="K7" s="99">
        <v>19</v>
      </c>
      <c r="L7" s="99">
        <v>2871</v>
      </c>
      <c r="M7" s="99">
        <v>1066</v>
      </c>
      <c r="N7" s="99">
        <v>562</v>
      </c>
      <c r="O7" s="99">
        <v>320</v>
      </c>
      <c r="P7" s="159">
        <v>320</v>
      </c>
      <c r="Q7" s="99">
        <v>36</v>
      </c>
      <c r="R7" s="99">
        <v>65</v>
      </c>
      <c r="S7" s="99">
        <v>69</v>
      </c>
      <c r="T7" s="99">
        <v>40</v>
      </c>
      <c r="U7" s="99">
        <v>16</v>
      </c>
      <c r="V7" s="99">
        <v>39</v>
      </c>
      <c r="W7" s="99">
        <v>60</v>
      </c>
      <c r="X7" s="99">
        <v>125</v>
      </c>
      <c r="Y7" s="99">
        <v>211</v>
      </c>
      <c r="Z7" s="99">
        <v>141</v>
      </c>
      <c r="AA7" s="99" t="s">
        <v>550</v>
      </c>
      <c r="AB7" s="99" t="s">
        <v>550</v>
      </c>
      <c r="AC7" s="99" t="s">
        <v>550</v>
      </c>
      <c r="AD7" s="98" t="s">
        <v>321</v>
      </c>
      <c r="AE7" s="100">
        <v>0.1891750783153498</v>
      </c>
      <c r="AF7" s="100">
        <v>0.14</v>
      </c>
      <c r="AG7" s="98">
        <v>551.1080171713655</v>
      </c>
      <c r="AH7" s="98">
        <v>319.0625362571064</v>
      </c>
      <c r="AI7" s="100">
        <v>0.018000000000000002</v>
      </c>
      <c r="AJ7" s="100">
        <v>0.746555</v>
      </c>
      <c r="AK7" s="100">
        <v>0.633333</v>
      </c>
      <c r="AL7" s="100">
        <v>0.749217</v>
      </c>
      <c r="AM7" s="100">
        <v>0.546667</v>
      </c>
      <c r="AN7" s="100">
        <v>0.582988</v>
      </c>
      <c r="AO7" s="98">
        <v>1856.3638473140736</v>
      </c>
      <c r="AP7" s="158">
        <v>0.9362728882</v>
      </c>
      <c r="AQ7" s="100">
        <v>0.1125</v>
      </c>
      <c r="AR7" s="100">
        <v>0.5538461538461539</v>
      </c>
      <c r="AS7" s="98">
        <v>400.27845457709714</v>
      </c>
      <c r="AT7" s="98">
        <v>232.0454809142592</v>
      </c>
      <c r="AU7" s="98">
        <v>92.81819236570368</v>
      </c>
      <c r="AV7" s="98">
        <v>226.2443438914027</v>
      </c>
      <c r="AW7" s="98">
        <v>348.0682213713888</v>
      </c>
      <c r="AX7" s="98">
        <v>725.14212785706</v>
      </c>
      <c r="AY7" s="98">
        <v>1224.0399118227172</v>
      </c>
      <c r="AZ7" s="98">
        <v>817.9603202227637</v>
      </c>
      <c r="BA7" s="100" t="s">
        <v>550</v>
      </c>
      <c r="BB7" s="100" t="s">
        <v>550</v>
      </c>
      <c r="BC7" s="100" t="s">
        <v>550</v>
      </c>
      <c r="BD7" s="158">
        <v>0.8364885712</v>
      </c>
      <c r="BE7" s="158">
        <v>1.044684525</v>
      </c>
      <c r="BF7" s="162">
        <v>2032</v>
      </c>
      <c r="BG7" s="162">
        <v>30</v>
      </c>
      <c r="BH7" s="162">
        <v>3832</v>
      </c>
      <c r="BI7" s="162">
        <v>1950</v>
      </c>
      <c r="BJ7" s="162">
        <v>964</v>
      </c>
      <c r="BK7" s="97"/>
      <c r="BL7" s="97"/>
      <c r="BM7" s="97"/>
      <c r="BN7" s="97"/>
    </row>
    <row r="8" spans="1:66" ht="12.75">
      <c r="A8" s="79" t="s">
        <v>538</v>
      </c>
      <c r="B8" s="79" t="s">
        <v>315</v>
      </c>
      <c r="C8" s="79" t="s">
        <v>196</v>
      </c>
      <c r="D8" s="99">
        <v>4235</v>
      </c>
      <c r="E8" s="99">
        <v>917</v>
      </c>
      <c r="F8" s="99" t="s">
        <v>345</v>
      </c>
      <c r="G8" s="99" t="s">
        <v>550</v>
      </c>
      <c r="H8" s="99" t="s">
        <v>550</v>
      </c>
      <c r="I8" s="99">
        <v>87</v>
      </c>
      <c r="J8" s="99">
        <v>303</v>
      </c>
      <c r="K8" s="99">
        <v>304</v>
      </c>
      <c r="L8" s="99">
        <v>546</v>
      </c>
      <c r="M8" s="99">
        <v>232</v>
      </c>
      <c r="N8" s="99">
        <v>104</v>
      </c>
      <c r="O8" s="99">
        <v>42</v>
      </c>
      <c r="P8" s="159">
        <v>42</v>
      </c>
      <c r="Q8" s="99" t="s">
        <v>550</v>
      </c>
      <c r="R8" s="99">
        <v>15</v>
      </c>
      <c r="S8" s="99">
        <v>16</v>
      </c>
      <c r="T8" s="99" t="s">
        <v>550</v>
      </c>
      <c r="U8" s="99" t="s">
        <v>550</v>
      </c>
      <c r="V8" s="99">
        <v>12</v>
      </c>
      <c r="W8" s="99">
        <v>16</v>
      </c>
      <c r="X8" s="99">
        <v>13</v>
      </c>
      <c r="Y8" s="99">
        <v>27</v>
      </c>
      <c r="Z8" s="99">
        <v>6</v>
      </c>
      <c r="AA8" s="99" t="s">
        <v>550</v>
      </c>
      <c r="AB8" s="99" t="s">
        <v>550</v>
      </c>
      <c r="AC8" s="99" t="s">
        <v>550</v>
      </c>
      <c r="AD8" s="98" t="s">
        <v>321</v>
      </c>
      <c r="AE8" s="100">
        <v>0.21652892561983472</v>
      </c>
      <c r="AF8" s="100">
        <v>0.07</v>
      </c>
      <c r="AG8" s="98" t="s">
        <v>550</v>
      </c>
      <c r="AH8" s="98" t="s">
        <v>550</v>
      </c>
      <c r="AI8" s="100">
        <v>0.021</v>
      </c>
      <c r="AJ8" s="100">
        <v>0.797368</v>
      </c>
      <c r="AK8" s="100">
        <v>0.802111</v>
      </c>
      <c r="AL8" s="100">
        <v>0.793605</v>
      </c>
      <c r="AM8" s="100">
        <v>0.590331</v>
      </c>
      <c r="AN8" s="100">
        <v>0.590909</v>
      </c>
      <c r="AO8" s="98">
        <v>991.7355371900826</v>
      </c>
      <c r="AP8" s="158">
        <v>0.4532563019</v>
      </c>
      <c r="AQ8" s="100" t="s">
        <v>550</v>
      </c>
      <c r="AR8" s="100" t="s">
        <v>550</v>
      </c>
      <c r="AS8" s="98">
        <v>377.8040141676505</v>
      </c>
      <c r="AT8" s="98" t="s">
        <v>550</v>
      </c>
      <c r="AU8" s="98" t="s">
        <v>550</v>
      </c>
      <c r="AV8" s="98">
        <v>283.3530106257379</v>
      </c>
      <c r="AW8" s="98">
        <v>377.8040141676505</v>
      </c>
      <c r="AX8" s="98">
        <v>306.96576151121604</v>
      </c>
      <c r="AY8" s="98">
        <v>637.5442739079102</v>
      </c>
      <c r="AZ8" s="98">
        <v>141.67650531286895</v>
      </c>
      <c r="BA8" s="100" t="s">
        <v>550</v>
      </c>
      <c r="BB8" s="100" t="s">
        <v>550</v>
      </c>
      <c r="BC8" s="100" t="s">
        <v>550</v>
      </c>
      <c r="BD8" s="158">
        <v>0.3266672516</v>
      </c>
      <c r="BE8" s="158">
        <v>0.6126708221</v>
      </c>
      <c r="BF8" s="162">
        <v>380</v>
      </c>
      <c r="BG8" s="162">
        <v>379</v>
      </c>
      <c r="BH8" s="162">
        <v>688</v>
      </c>
      <c r="BI8" s="162">
        <v>393</v>
      </c>
      <c r="BJ8" s="162">
        <v>176</v>
      </c>
      <c r="BK8" s="97"/>
      <c r="BL8" s="97"/>
      <c r="BM8" s="97"/>
      <c r="BN8" s="97"/>
    </row>
    <row r="9" spans="1:66" ht="12.75">
      <c r="A9" s="79" t="s">
        <v>523</v>
      </c>
      <c r="B9" s="79" t="s">
        <v>299</v>
      </c>
      <c r="C9" s="79" t="s">
        <v>196</v>
      </c>
      <c r="D9" s="99">
        <v>12163</v>
      </c>
      <c r="E9" s="99">
        <v>1427</v>
      </c>
      <c r="F9" s="99" t="s">
        <v>343</v>
      </c>
      <c r="G9" s="99">
        <v>35</v>
      </c>
      <c r="H9" s="99">
        <v>29</v>
      </c>
      <c r="I9" s="99">
        <v>134</v>
      </c>
      <c r="J9" s="99">
        <v>687</v>
      </c>
      <c r="K9" s="99">
        <v>13</v>
      </c>
      <c r="L9" s="99">
        <v>1646</v>
      </c>
      <c r="M9" s="99">
        <v>518</v>
      </c>
      <c r="N9" s="99">
        <v>263</v>
      </c>
      <c r="O9" s="99">
        <v>145</v>
      </c>
      <c r="P9" s="159">
        <v>145</v>
      </c>
      <c r="Q9" s="99">
        <v>12</v>
      </c>
      <c r="R9" s="99">
        <v>30</v>
      </c>
      <c r="S9" s="99">
        <v>22</v>
      </c>
      <c r="T9" s="99">
        <v>30</v>
      </c>
      <c r="U9" s="99" t="s">
        <v>550</v>
      </c>
      <c r="V9" s="99">
        <v>26</v>
      </c>
      <c r="W9" s="99">
        <v>36</v>
      </c>
      <c r="X9" s="99">
        <v>70</v>
      </c>
      <c r="Y9" s="99">
        <v>122</v>
      </c>
      <c r="Z9" s="99">
        <v>59</v>
      </c>
      <c r="AA9" s="99" t="s">
        <v>550</v>
      </c>
      <c r="AB9" s="99" t="s">
        <v>550</v>
      </c>
      <c r="AC9" s="99" t="s">
        <v>550</v>
      </c>
      <c r="AD9" s="98" t="s">
        <v>321</v>
      </c>
      <c r="AE9" s="100">
        <v>0.117323028858012</v>
      </c>
      <c r="AF9" s="100">
        <v>0.11</v>
      </c>
      <c r="AG9" s="98">
        <v>287.75795445202664</v>
      </c>
      <c r="AH9" s="98">
        <v>238.42801940310778</v>
      </c>
      <c r="AI9" s="100">
        <v>0.011000000000000001</v>
      </c>
      <c r="AJ9" s="100">
        <v>0.745928</v>
      </c>
      <c r="AK9" s="100">
        <v>0.866667</v>
      </c>
      <c r="AL9" s="100">
        <v>0.690726</v>
      </c>
      <c r="AM9" s="100">
        <v>0.592677</v>
      </c>
      <c r="AN9" s="100">
        <v>0.613054</v>
      </c>
      <c r="AO9" s="98">
        <v>1192.140097015539</v>
      </c>
      <c r="AP9" s="158">
        <v>0.8142954254</v>
      </c>
      <c r="AQ9" s="100">
        <v>0.08275862068965517</v>
      </c>
      <c r="AR9" s="100">
        <v>0.4</v>
      </c>
      <c r="AS9" s="98">
        <v>180.87642851270246</v>
      </c>
      <c r="AT9" s="98">
        <v>246.64967524459425</v>
      </c>
      <c r="AU9" s="98" t="s">
        <v>550</v>
      </c>
      <c r="AV9" s="98">
        <v>213.76305187864835</v>
      </c>
      <c r="AW9" s="98">
        <v>295.97961029351313</v>
      </c>
      <c r="AX9" s="98">
        <v>575.5159089040533</v>
      </c>
      <c r="AY9" s="98">
        <v>1003.04201266135</v>
      </c>
      <c r="AZ9" s="98">
        <v>485.07769464770206</v>
      </c>
      <c r="BA9" s="100" t="s">
        <v>550</v>
      </c>
      <c r="BB9" s="100" t="s">
        <v>550</v>
      </c>
      <c r="BC9" s="100" t="s">
        <v>550</v>
      </c>
      <c r="BD9" s="158">
        <v>0.6871521759</v>
      </c>
      <c r="BE9" s="158">
        <v>0.9581438446</v>
      </c>
      <c r="BF9" s="162">
        <v>921</v>
      </c>
      <c r="BG9" s="162">
        <v>15</v>
      </c>
      <c r="BH9" s="162">
        <v>2383</v>
      </c>
      <c r="BI9" s="162">
        <v>874</v>
      </c>
      <c r="BJ9" s="162">
        <v>429</v>
      </c>
      <c r="BK9" s="97"/>
      <c r="BL9" s="97"/>
      <c r="BM9" s="97"/>
      <c r="BN9" s="97"/>
    </row>
    <row r="10" spans="1:66" ht="12.75">
      <c r="A10" s="79" t="s">
        <v>509</v>
      </c>
      <c r="B10" s="79" t="s">
        <v>285</v>
      </c>
      <c r="C10" s="79" t="s">
        <v>196</v>
      </c>
      <c r="D10" s="99">
        <v>6979</v>
      </c>
      <c r="E10" s="99">
        <v>1416</v>
      </c>
      <c r="F10" s="99" t="s">
        <v>345</v>
      </c>
      <c r="G10" s="99">
        <v>29</v>
      </c>
      <c r="H10" s="99">
        <v>20</v>
      </c>
      <c r="I10" s="99">
        <v>104</v>
      </c>
      <c r="J10" s="99">
        <v>615</v>
      </c>
      <c r="K10" s="99">
        <v>9</v>
      </c>
      <c r="L10" s="99">
        <v>1388</v>
      </c>
      <c r="M10" s="99">
        <v>490</v>
      </c>
      <c r="N10" s="99">
        <v>268</v>
      </c>
      <c r="O10" s="99">
        <v>128</v>
      </c>
      <c r="P10" s="159">
        <v>128</v>
      </c>
      <c r="Q10" s="99">
        <v>16</v>
      </c>
      <c r="R10" s="99">
        <v>32</v>
      </c>
      <c r="S10" s="99">
        <v>35</v>
      </c>
      <c r="T10" s="99">
        <v>19</v>
      </c>
      <c r="U10" s="99" t="s">
        <v>550</v>
      </c>
      <c r="V10" s="99">
        <v>36</v>
      </c>
      <c r="W10" s="99">
        <v>29</v>
      </c>
      <c r="X10" s="99">
        <v>38</v>
      </c>
      <c r="Y10" s="99">
        <v>81</v>
      </c>
      <c r="Z10" s="99">
        <v>47</v>
      </c>
      <c r="AA10" s="99" t="s">
        <v>550</v>
      </c>
      <c r="AB10" s="99" t="s">
        <v>550</v>
      </c>
      <c r="AC10" s="99" t="s">
        <v>550</v>
      </c>
      <c r="AD10" s="98" t="s">
        <v>321</v>
      </c>
      <c r="AE10" s="100">
        <v>0.20289439747814872</v>
      </c>
      <c r="AF10" s="100">
        <v>0.08</v>
      </c>
      <c r="AG10" s="98">
        <v>415.5323112193724</v>
      </c>
      <c r="AH10" s="98">
        <v>286.5740077374982</v>
      </c>
      <c r="AI10" s="100">
        <v>0.015</v>
      </c>
      <c r="AJ10" s="100">
        <v>0.68031</v>
      </c>
      <c r="AK10" s="100">
        <v>0.5625</v>
      </c>
      <c r="AL10" s="100">
        <v>0.808858</v>
      </c>
      <c r="AM10" s="100">
        <v>0.604192</v>
      </c>
      <c r="AN10" s="100">
        <v>0.638095</v>
      </c>
      <c r="AO10" s="98">
        <v>1834.0736495199885</v>
      </c>
      <c r="AP10" s="158">
        <v>0.8908154297</v>
      </c>
      <c r="AQ10" s="100">
        <v>0.125</v>
      </c>
      <c r="AR10" s="100">
        <v>0.5</v>
      </c>
      <c r="AS10" s="98">
        <v>501.5045135406219</v>
      </c>
      <c r="AT10" s="98">
        <v>272.2453073506233</v>
      </c>
      <c r="AU10" s="98" t="s">
        <v>550</v>
      </c>
      <c r="AV10" s="98">
        <v>515.8332139274968</v>
      </c>
      <c r="AW10" s="98">
        <v>415.5323112193724</v>
      </c>
      <c r="AX10" s="98">
        <v>544.4906147012466</v>
      </c>
      <c r="AY10" s="98">
        <v>1160.6247313368679</v>
      </c>
      <c r="AZ10" s="98">
        <v>673.4489181831208</v>
      </c>
      <c r="BA10" s="100" t="s">
        <v>550</v>
      </c>
      <c r="BB10" s="100" t="s">
        <v>550</v>
      </c>
      <c r="BC10" s="100" t="s">
        <v>550</v>
      </c>
      <c r="BD10" s="158">
        <v>0.7431859588999999</v>
      </c>
      <c r="BE10" s="158">
        <v>1.059182434</v>
      </c>
      <c r="BF10" s="162">
        <v>904</v>
      </c>
      <c r="BG10" s="162">
        <v>16</v>
      </c>
      <c r="BH10" s="162">
        <v>1716</v>
      </c>
      <c r="BI10" s="162">
        <v>811</v>
      </c>
      <c r="BJ10" s="162">
        <v>420</v>
      </c>
      <c r="BK10" s="97"/>
      <c r="BL10" s="97"/>
      <c r="BM10" s="97"/>
      <c r="BN10" s="97"/>
    </row>
    <row r="11" spans="1:66" ht="12.75">
      <c r="A11" s="79" t="s">
        <v>507</v>
      </c>
      <c r="B11" s="79" t="s">
        <v>283</v>
      </c>
      <c r="C11" s="79" t="s">
        <v>196</v>
      </c>
      <c r="D11" s="99">
        <v>8652</v>
      </c>
      <c r="E11" s="99">
        <v>1474</v>
      </c>
      <c r="F11" s="99" t="s">
        <v>345</v>
      </c>
      <c r="G11" s="99">
        <v>47</v>
      </c>
      <c r="H11" s="99">
        <v>16</v>
      </c>
      <c r="I11" s="99">
        <v>152</v>
      </c>
      <c r="J11" s="99">
        <v>919</v>
      </c>
      <c r="K11" s="99">
        <v>899</v>
      </c>
      <c r="L11" s="99">
        <v>1816</v>
      </c>
      <c r="M11" s="99">
        <v>611</v>
      </c>
      <c r="N11" s="99">
        <v>328</v>
      </c>
      <c r="O11" s="99">
        <v>167</v>
      </c>
      <c r="P11" s="159">
        <v>167</v>
      </c>
      <c r="Q11" s="99">
        <v>16</v>
      </c>
      <c r="R11" s="99">
        <v>40</v>
      </c>
      <c r="S11" s="99">
        <v>28</v>
      </c>
      <c r="T11" s="99">
        <v>22</v>
      </c>
      <c r="U11" s="99">
        <v>12</v>
      </c>
      <c r="V11" s="99">
        <v>31</v>
      </c>
      <c r="W11" s="99">
        <v>41</v>
      </c>
      <c r="X11" s="99">
        <v>54</v>
      </c>
      <c r="Y11" s="99">
        <v>127</v>
      </c>
      <c r="Z11" s="99">
        <v>37</v>
      </c>
      <c r="AA11" s="99" t="s">
        <v>550</v>
      </c>
      <c r="AB11" s="99" t="s">
        <v>550</v>
      </c>
      <c r="AC11" s="99" t="s">
        <v>550</v>
      </c>
      <c r="AD11" s="98" t="s">
        <v>321</v>
      </c>
      <c r="AE11" s="100">
        <v>0.1703652334720296</v>
      </c>
      <c r="AF11" s="100">
        <v>0.08</v>
      </c>
      <c r="AG11" s="98">
        <v>543.2269995376791</v>
      </c>
      <c r="AH11" s="98">
        <v>184.9283402681461</v>
      </c>
      <c r="AI11" s="100">
        <v>0.018000000000000002</v>
      </c>
      <c r="AJ11" s="100">
        <v>0.811121</v>
      </c>
      <c r="AK11" s="100">
        <v>0.818761</v>
      </c>
      <c r="AL11" s="100">
        <v>0.794401</v>
      </c>
      <c r="AM11" s="100">
        <v>0.583572</v>
      </c>
      <c r="AN11" s="100">
        <v>0.609665</v>
      </c>
      <c r="AO11" s="98">
        <v>1930.189551548775</v>
      </c>
      <c r="AP11" s="158">
        <v>0.988412323</v>
      </c>
      <c r="AQ11" s="100">
        <v>0.09580838323353294</v>
      </c>
      <c r="AR11" s="100">
        <v>0.4</v>
      </c>
      <c r="AS11" s="98">
        <v>323.62459546925567</v>
      </c>
      <c r="AT11" s="98">
        <v>254.27646786870088</v>
      </c>
      <c r="AU11" s="98">
        <v>138.69625520110958</v>
      </c>
      <c r="AV11" s="98">
        <v>358.29865926953306</v>
      </c>
      <c r="AW11" s="98">
        <v>473.87887193712436</v>
      </c>
      <c r="AX11" s="98">
        <v>624.1331484049931</v>
      </c>
      <c r="AY11" s="98">
        <v>1467.8687008784095</v>
      </c>
      <c r="AZ11" s="98">
        <v>427.64678687008785</v>
      </c>
      <c r="BA11" s="100" t="s">
        <v>550</v>
      </c>
      <c r="BB11" s="100" t="s">
        <v>550</v>
      </c>
      <c r="BC11" s="100" t="s">
        <v>550</v>
      </c>
      <c r="BD11" s="158">
        <v>0.8441853333</v>
      </c>
      <c r="BE11" s="158">
        <v>1.150213242</v>
      </c>
      <c r="BF11" s="162">
        <v>1133</v>
      </c>
      <c r="BG11" s="162">
        <v>1098</v>
      </c>
      <c r="BH11" s="162">
        <v>2286</v>
      </c>
      <c r="BI11" s="162">
        <v>1047</v>
      </c>
      <c r="BJ11" s="162">
        <v>538</v>
      </c>
      <c r="BK11" s="97"/>
      <c r="BL11" s="97"/>
      <c r="BM11" s="97"/>
      <c r="BN11" s="97"/>
    </row>
    <row r="12" spans="1:66" ht="12.75">
      <c r="A12" s="79" t="s">
        <v>531</v>
      </c>
      <c r="B12" s="79" t="s">
        <v>308</v>
      </c>
      <c r="C12" s="79" t="s">
        <v>196</v>
      </c>
      <c r="D12" s="99">
        <v>2208</v>
      </c>
      <c r="E12" s="99">
        <v>498</v>
      </c>
      <c r="F12" s="99" t="s">
        <v>343</v>
      </c>
      <c r="G12" s="99">
        <v>17</v>
      </c>
      <c r="H12" s="99">
        <v>11</v>
      </c>
      <c r="I12" s="99">
        <v>48</v>
      </c>
      <c r="J12" s="99">
        <v>199</v>
      </c>
      <c r="K12" s="99" t="s">
        <v>550</v>
      </c>
      <c r="L12" s="99">
        <v>402</v>
      </c>
      <c r="M12" s="99">
        <v>112</v>
      </c>
      <c r="N12" s="99">
        <v>61</v>
      </c>
      <c r="O12" s="99">
        <v>44</v>
      </c>
      <c r="P12" s="159">
        <v>44</v>
      </c>
      <c r="Q12" s="99">
        <v>9</v>
      </c>
      <c r="R12" s="99">
        <v>15</v>
      </c>
      <c r="S12" s="99">
        <v>12</v>
      </c>
      <c r="T12" s="99" t="s">
        <v>550</v>
      </c>
      <c r="U12" s="99" t="s">
        <v>550</v>
      </c>
      <c r="V12" s="99">
        <v>7</v>
      </c>
      <c r="W12" s="99">
        <v>7</v>
      </c>
      <c r="X12" s="99">
        <v>20</v>
      </c>
      <c r="Y12" s="99">
        <v>49</v>
      </c>
      <c r="Z12" s="99">
        <v>19</v>
      </c>
      <c r="AA12" s="99" t="s">
        <v>550</v>
      </c>
      <c r="AB12" s="99" t="s">
        <v>550</v>
      </c>
      <c r="AC12" s="99" t="s">
        <v>550</v>
      </c>
      <c r="AD12" s="98" t="s">
        <v>321</v>
      </c>
      <c r="AE12" s="100">
        <v>0.22554347826086957</v>
      </c>
      <c r="AF12" s="100">
        <v>0.12</v>
      </c>
      <c r="AG12" s="98">
        <v>769.927536231884</v>
      </c>
      <c r="AH12" s="98">
        <v>498.18840579710144</v>
      </c>
      <c r="AI12" s="100">
        <v>0.022000000000000002</v>
      </c>
      <c r="AJ12" s="100">
        <v>0.69338</v>
      </c>
      <c r="AK12" s="100" t="s">
        <v>550</v>
      </c>
      <c r="AL12" s="100">
        <v>0.802395</v>
      </c>
      <c r="AM12" s="100">
        <v>0.513761</v>
      </c>
      <c r="AN12" s="100">
        <v>0.559633</v>
      </c>
      <c r="AO12" s="98">
        <v>1992.7536231884058</v>
      </c>
      <c r="AP12" s="158">
        <v>0.9041730499</v>
      </c>
      <c r="AQ12" s="100">
        <v>0.20454545454545456</v>
      </c>
      <c r="AR12" s="100">
        <v>0.6</v>
      </c>
      <c r="AS12" s="98">
        <v>543.4782608695652</v>
      </c>
      <c r="AT12" s="98" t="s">
        <v>550</v>
      </c>
      <c r="AU12" s="98" t="s">
        <v>550</v>
      </c>
      <c r="AV12" s="98">
        <v>317.0289855072464</v>
      </c>
      <c r="AW12" s="98">
        <v>317.0289855072464</v>
      </c>
      <c r="AX12" s="98">
        <v>905.7971014492754</v>
      </c>
      <c r="AY12" s="98">
        <v>2219.2028985507245</v>
      </c>
      <c r="AZ12" s="98">
        <v>860.5072463768116</v>
      </c>
      <c r="BA12" s="100" t="s">
        <v>550</v>
      </c>
      <c r="BB12" s="100" t="s">
        <v>550</v>
      </c>
      <c r="BC12" s="100" t="s">
        <v>550</v>
      </c>
      <c r="BD12" s="158">
        <v>0.6569735717999999</v>
      </c>
      <c r="BE12" s="158">
        <v>1.21381012</v>
      </c>
      <c r="BF12" s="162">
        <v>287</v>
      </c>
      <c r="BG12" s="162" t="s">
        <v>550</v>
      </c>
      <c r="BH12" s="162">
        <v>501</v>
      </c>
      <c r="BI12" s="162">
        <v>218</v>
      </c>
      <c r="BJ12" s="162">
        <v>109</v>
      </c>
      <c r="BK12" s="97"/>
      <c r="BL12" s="97"/>
      <c r="BM12" s="97"/>
      <c r="BN12" s="97"/>
    </row>
    <row r="13" spans="1:66" ht="12.75">
      <c r="A13" s="79" t="s">
        <v>525</v>
      </c>
      <c r="B13" s="79" t="s">
        <v>302</v>
      </c>
      <c r="C13" s="79" t="s">
        <v>196</v>
      </c>
      <c r="D13" s="99">
        <v>11980</v>
      </c>
      <c r="E13" s="99">
        <v>1924</v>
      </c>
      <c r="F13" s="99" t="s">
        <v>344</v>
      </c>
      <c r="G13" s="99">
        <v>72</v>
      </c>
      <c r="H13" s="99">
        <v>31</v>
      </c>
      <c r="I13" s="99">
        <v>223</v>
      </c>
      <c r="J13" s="99">
        <v>1089</v>
      </c>
      <c r="K13" s="99">
        <v>11</v>
      </c>
      <c r="L13" s="99">
        <v>2359</v>
      </c>
      <c r="M13" s="99">
        <v>591</v>
      </c>
      <c r="N13" s="99">
        <v>293</v>
      </c>
      <c r="O13" s="99">
        <v>304</v>
      </c>
      <c r="P13" s="159">
        <v>304</v>
      </c>
      <c r="Q13" s="99">
        <v>40</v>
      </c>
      <c r="R13" s="99">
        <v>71</v>
      </c>
      <c r="S13" s="99">
        <v>60</v>
      </c>
      <c r="T13" s="99">
        <v>47</v>
      </c>
      <c r="U13" s="99">
        <v>19</v>
      </c>
      <c r="V13" s="99">
        <v>57</v>
      </c>
      <c r="W13" s="99">
        <v>65</v>
      </c>
      <c r="X13" s="99">
        <v>100</v>
      </c>
      <c r="Y13" s="99">
        <v>198</v>
      </c>
      <c r="Z13" s="99">
        <v>77</v>
      </c>
      <c r="AA13" s="99" t="s">
        <v>550</v>
      </c>
      <c r="AB13" s="99" t="s">
        <v>550</v>
      </c>
      <c r="AC13" s="99" t="s">
        <v>550</v>
      </c>
      <c r="AD13" s="98" t="s">
        <v>321</v>
      </c>
      <c r="AE13" s="100">
        <v>0.16060100166944907</v>
      </c>
      <c r="AF13" s="100">
        <v>0.13</v>
      </c>
      <c r="AG13" s="98">
        <v>601.0016694490818</v>
      </c>
      <c r="AH13" s="98">
        <v>258.76460767946577</v>
      </c>
      <c r="AI13" s="100">
        <v>0.019</v>
      </c>
      <c r="AJ13" s="100">
        <v>0.773987</v>
      </c>
      <c r="AK13" s="100">
        <v>0.6875</v>
      </c>
      <c r="AL13" s="100">
        <v>0.79055</v>
      </c>
      <c r="AM13" s="100">
        <v>0.524401</v>
      </c>
      <c r="AN13" s="100">
        <v>0.527928</v>
      </c>
      <c r="AO13" s="98">
        <v>2537.5626043405678</v>
      </c>
      <c r="AP13" s="158">
        <v>1.3560340880000001</v>
      </c>
      <c r="AQ13" s="100">
        <v>0.13157894736842105</v>
      </c>
      <c r="AR13" s="100">
        <v>0.5633802816901409</v>
      </c>
      <c r="AS13" s="98">
        <v>500.8347245409015</v>
      </c>
      <c r="AT13" s="98">
        <v>392.3205342237062</v>
      </c>
      <c r="AU13" s="98">
        <v>158.59766277128548</v>
      </c>
      <c r="AV13" s="98">
        <v>475.7929883138564</v>
      </c>
      <c r="AW13" s="98">
        <v>542.5709515859767</v>
      </c>
      <c r="AX13" s="98">
        <v>834.7245409015025</v>
      </c>
      <c r="AY13" s="98">
        <v>1652.754590984975</v>
      </c>
      <c r="AZ13" s="98">
        <v>642.737896494157</v>
      </c>
      <c r="BA13" s="100" t="s">
        <v>550</v>
      </c>
      <c r="BB13" s="100" t="s">
        <v>550</v>
      </c>
      <c r="BC13" s="100" t="s">
        <v>550</v>
      </c>
      <c r="BD13" s="158">
        <v>1.207867966</v>
      </c>
      <c r="BE13" s="158">
        <v>1.517359314</v>
      </c>
      <c r="BF13" s="162">
        <v>1407</v>
      </c>
      <c r="BG13" s="162">
        <v>16</v>
      </c>
      <c r="BH13" s="162">
        <v>2984</v>
      </c>
      <c r="BI13" s="162">
        <v>1127</v>
      </c>
      <c r="BJ13" s="162">
        <v>555</v>
      </c>
      <c r="BK13" s="97"/>
      <c r="BL13" s="97"/>
      <c r="BM13" s="97"/>
      <c r="BN13" s="97"/>
    </row>
    <row r="14" spans="1:66" ht="12.75">
      <c r="A14" s="79" t="s">
        <v>535</v>
      </c>
      <c r="B14" s="79" t="s">
        <v>312</v>
      </c>
      <c r="C14" s="79" t="s">
        <v>196</v>
      </c>
      <c r="D14" s="99">
        <v>4339</v>
      </c>
      <c r="E14" s="99">
        <v>903</v>
      </c>
      <c r="F14" s="99" t="s">
        <v>345</v>
      </c>
      <c r="G14" s="99">
        <v>31</v>
      </c>
      <c r="H14" s="99">
        <v>14</v>
      </c>
      <c r="I14" s="99">
        <v>108</v>
      </c>
      <c r="J14" s="99">
        <v>511</v>
      </c>
      <c r="K14" s="99">
        <v>501</v>
      </c>
      <c r="L14" s="99">
        <v>886</v>
      </c>
      <c r="M14" s="99">
        <v>395</v>
      </c>
      <c r="N14" s="99">
        <v>208</v>
      </c>
      <c r="O14" s="99">
        <v>97</v>
      </c>
      <c r="P14" s="159">
        <v>97</v>
      </c>
      <c r="Q14" s="99">
        <v>12</v>
      </c>
      <c r="R14" s="99">
        <v>27</v>
      </c>
      <c r="S14" s="99">
        <v>19</v>
      </c>
      <c r="T14" s="99">
        <v>22</v>
      </c>
      <c r="U14" s="99" t="s">
        <v>550</v>
      </c>
      <c r="V14" s="99">
        <v>19</v>
      </c>
      <c r="W14" s="99">
        <v>14</v>
      </c>
      <c r="X14" s="99">
        <v>38</v>
      </c>
      <c r="Y14" s="99">
        <v>45</v>
      </c>
      <c r="Z14" s="99">
        <v>36</v>
      </c>
      <c r="AA14" s="99" t="s">
        <v>550</v>
      </c>
      <c r="AB14" s="99" t="s">
        <v>550</v>
      </c>
      <c r="AC14" s="99" t="s">
        <v>550</v>
      </c>
      <c r="AD14" s="98" t="s">
        <v>321</v>
      </c>
      <c r="AE14" s="100">
        <v>0.20811246831067065</v>
      </c>
      <c r="AF14" s="100">
        <v>0.05</v>
      </c>
      <c r="AG14" s="98">
        <v>714.4503341783821</v>
      </c>
      <c r="AH14" s="98">
        <v>322.65498962894674</v>
      </c>
      <c r="AI14" s="100">
        <v>0.025</v>
      </c>
      <c r="AJ14" s="100">
        <v>0.826861</v>
      </c>
      <c r="AK14" s="100">
        <v>0.840604</v>
      </c>
      <c r="AL14" s="100">
        <v>0.843007</v>
      </c>
      <c r="AM14" s="100">
        <v>0.644372</v>
      </c>
      <c r="AN14" s="100">
        <v>0.709898</v>
      </c>
      <c r="AO14" s="98">
        <v>2235.5381424291313</v>
      </c>
      <c r="AP14" s="158">
        <v>1.043739853</v>
      </c>
      <c r="AQ14" s="100">
        <v>0.12371134020618557</v>
      </c>
      <c r="AR14" s="100">
        <v>0.4444444444444444</v>
      </c>
      <c r="AS14" s="98">
        <v>437.88891449642773</v>
      </c>
      <c r="AT14" s="98">
        <v>507.02926941691635</v>
      </c>
      <c r="AU14" s="98" t="s">
        <v>550</v>
      </c>
      <c r="AV14" s="98">
        <v>437.88891449642773</v>
      </c>
      <c r="AW14" s="98">
        <v>322.65498962894674</v>
      </c>
      <c r="AX14" s="98">
        <v>875.7778289928555</v>
      </c>
      <c r="AY14" s="98">
        <v>1037.105323807329</v>
      </c>
      <c r="AZ14" s="98">
        <v>829.6842590458631</v>
      </c>
      <c r="BA14" s="100" t="s">
        <v>550</v>
      </c>
      <c r="BB14" s="100" t="s">
        <v>550</v>
      </c>
      <c r="BC14" s="100" t="s">
        <v>550</v>
      </c>
      <c r="BD14" s="158">
        <v>0.8464026642</v>
      </c>
      <c r="BE14" s="158">
        <v>1.273274078</v>
      </c>
      <c r="BF14" s="162">
        <v>618</v>
      </c>
      <c r="BG14" s="162">
        <v>596</v>
      </c>
      <c r="BH14" s="162">
        <v>1051</v>
      </c>
      <c r="BI14" s="162">
        <v>613</v>
      </c>
      <c r="BJ14" s="162">
        <v>293</v>
      </c>
      <c r="BK14" s="97"/>
      <c r="BL14" s="97"/>
      <c r="BM14" s="97"/>
      <c r="BN14" s="97"/>
    </row>
    <row r="15" spans="1:66" ht="12.75">
      <c r="A15" s="79" t="s">
        <v>533</v>
      </c>
      <c r="B15" s="79" t="s">
        <v>310</v>
      </c>
      <c r="C15" s="79" t="s">
        <v>196</v>
      </c>
      <c r="D15" s="99">
        <v>6004</v>
      </c>
      <c r="E15" s="99">
        <v>847</v>
      </c>
      <c r="F15" s="99" t="s">
        <v>341</v>
      </c>
      <c r="G15" s="99">
        <v>21</v>
      </c>
      <c r="H15" s="99">
        <v>8</v>
      </c>
      <c r="I15" s="99">
        <v>93</v>
      </c>
      <c r="J15" s="99">
        <v>417</v>
      </c>
      <c r="K15" s="99" t="s">
        <v>550</v>
      </c>
      <c r="L15" s="99">
        <v>857</v>
      </c>
      <c r="M15" s="99">
        <v>311</v>
      </c>
      <c r="N15" s="99">
        <v>154</v>
      </c>
      <c r="O15" s="99">
        <v>106</v>
      </c>
      <c r="P15" s="159">
        <v>106</v>
      </c>
      <c r="Q15" s="99">
        <v>12</v>
      </c>
      <c r="R15" s="99">
        <v>22</v>
      </c>
      <c r="S15" s="99">
        <v>30</v>
      </c>
      <c r="T15" s="99">
        <v>20</v>
      </c>
      <c r="U15" s="99">
        <v>6</v>
      </c>
      <c r="V15" s="99">
        <v>10</v>
      </c>
      <c r="W15" s="99">
        <v>31</v>
      </c>
      <c r="X15" s="99">
        <v>36</v>
      </c>
      <c r="Y15" s="99">
        <v>88</v>
      </c>
      <c r="Z15" s="99">
        <v>35</v>
      </c>
      <c r="AA15" s="99" t="s">
        <v>550</v>
      </c>
      <c r="AB15" s="99" t="s">
        <v>550</v>
      </c>
      <c r="AC15" s="99" t="s">
        <v>550</v>
      </c>
      <c r="AD15" s="98" t="s">
        <v>321</v>
      </c>
      <c r="AE15" s="100">
        <v>0.141072618254497</v>
      </c>
      <c r="AF15" s="100">
        <v>0.23</v>
      </c>
      <c r="AG15" s="98">
        <v>349.7668221185876</v>
      </c>
      <c r="AH15" s="98">
        <v>133.24450366422386</v>
      </c>
      <c r="AI15" s="100">
        <v>0.015</v>
      </c>
      <c r="AJ15" s="100">
        <v>0.715266</v>
      </c>
      <c r="AK15" s="100" t="s">
        <v>550</v>
      </c>
      <c r="AL15" s="100">
        <v>0.757737</v>
      </c>
      <c r="AM15" s="100">
        <v>0.551418</v>
      </c>
      <c r="AN15" s="100">
        <v>0.564103</v>
      </c>
      <c r="AO15" s="98">
        <v>1765.489673550966</v>
      </c>
      <c r="AP15" s="158">
        <v>1.0204740909999999</v>
      </c>
      <c r="AQ15" s="100">
        <v>0.11320754716981132</v>
      </c>
      <c r="AR15" s="100">
        <v>0.5454545454545454</v>
      </c>
      <c r="AS15" s="98">
        <v>499.66688874083945</v>
      </c>
      <c r="AT15" s="98">
        <v>333.11125916055965</v>
      </c>
      <c r="AU15" s="98">
        <v>99.93337774816789</v>
      </c>
      <c r="AV15" s="98">
        <v>166.55562958027983</v>
      </c>
      <c r="AW15" s="98">
        <v>516.3224516988674</v>
      </c>
      <c r="AX15" s="98">
        <v>599.6002664890074</v>
      </c>
      <c r="AY15" s="98">
        <v>1465.6895403064623</v>
      </c>
      <c r="AZ15" s="98">
        <v>582.9447035309794</v>
      </c>
      <c r="BA15" s="100" t="s">
        <v>550</v>
      </c>
      <c r="BB15" s="100" t="s">
        <v>550</v>
      </c>
      <c r="BC15" s="100" t="s">
        <v>550</v>
      </c>
      <c r="BD15" s="158">
        <v>0.8354805756</v>
      </c>
      <c r="BE15" s="158">
        <v>1.2342340090000001</v>
      </c>
      <c r="BF15" s="162">
        <v>583</v>
      </c>
      <c r="BG15" s="162" t="s">
        <v>550</v>
      </c>
      <c r="BH15" s="162">
        <v>1131</v>
      </c>
      <c r="BI15" s="162">
        <v>564</v>
      </c>
      <c r="BJ15" s="162">
        <v>273</v>
      </c>
      <c r="BK15" s="97"/>
      <c r="BL15" s="97"/>
      <c r="BM15" s="97"/>
      <c r="BN15" s="97"/>
    </row>
    <row r="16" spans="1:66" ht="12.75">
      <c r="A16" s="79" t="s">
        <v>516</v>
      </c>
      <c r="B16" s="79" t="s">
        <v>292</v>
      </c>
      <c r="C16" s="79" t="s">
        <v>196</v>
      </c>
      <c r="D16" s="99">
        <v>6220</v>
      </c>
      <c r="E16" s="99">
        <v>1344</v>
      </c>
      <c r="F16" s="99" t="s">
        <v>343</v>
      </c>
      <c r="G16" s="99">
        <v>22</v>
      </c>
      <c r="H16" s="99">
        <v>24</v>
      </c>
      <c r="I16" s="99">
        <v>150</v>
      </c>
      <c r="J16" s="99">
        <v>672</v>
      </c>
      <c r="K16" s="99">
        <v>661</v>
      </c>
      <c r="L16" s="99">
        <v>1106</v>
      </c>
      <c r="M16" s="99">
        <v>537</v>
      </c>
      <c r="N16" s="99">
        <v>278</v>
      </c>
      <c r="O16" s="99">
        <v>123</v>
      </c>
      <c r="P16" s="159">
        <v>123</v>
      </c>
      <c r="Q16" s="99">
        <v>19</v>
      </c>
      <c r="R16" s="99">
        <v>30</v>
      </c>
      <c r="S16" s="99">
        <v>19</v>
      </c>
      <c r="T16" s="99">
        <v>29</v>
      </c>
      <c r="U16" s="99">
        <v>6</v>
      </c>
      <c r="V16" s="99">
        <v>22</v>
      </c>
      <c r="W16" s="99">
        <v>27</v>
      </c>
      <c r="X16" s="99">
        <v>62</v>
      </c>
      <c r="Y16" s="99">
        <v>67</v>
      </c>
      <c r="Z16" s="99">
        <v>52</v>
      </c>
      <c r="AA16" s="99" t="s">
        <v>550</v>
      </c>
      <c r="AB16" s="99" t="s">
        <v>550</v>
      </c>
      <c r="AC16" s="99" t="s">
        <v>550</v>
      </c>
      <c r="AD16" s="98" t="s">
        <v>321</v>
      </c>
      <c r="AE16" s="100">
        <v>0.21607717041800642</v>
      </c>
      <c r="AF16" s="100">
        <v>0.09</v>
      </c>
      <c r="AG16" s="98">
        <v>353.6977491961415</v>
      </c>
      <c r="AH16" s="98">
        <v>385.85209003215436</v>
      </c>
      <c r="AI16" s="100">
        <v>0.024</v>
      </c>
      <c r="AJ16" s="100">
        <v>0.775087</v>
      </c>
      <c r="AK16" s="100">
        <v>0.835651</v>
      </c>
      <c r="AL16" s="100">
        <v>0.826607</v>
      </c>
      <c r="AM16" s="100">
        <v>0.618664</v>
      </c>
      <c r="AN16" s="100">
        <v>0.642032</v>
      </c>
      <c r="AO16" s="98">
        <v>1977.491961414791</v>
      </c>
      <c r="AP16" s="158">
        <v>0.8992402649</v>
      </c>
      <c r="AQ16" s="100">
        <v>0.15447154471544716</v>
      </c>
      <c r="AR16" s="100">
        <v>0.6333333333333333</v>
      </c>
      <c r="AS16" s="98">
        <v>305.4662379421222</v>
      </c>
      <c r="AT16" s="98">
        <v>466.2379421221865</v>
      </c>
      <c r="AU16" s="98">
        <v>96.46302250803859</v>
      </c>
      <c r="AV16" s="98">
        <v>353.6977491961415</v>
      </c>
      <c r="AW16" s="98">
        <v>434.08360128617363</v>
      </c>
      <c r="AX16" s="98">
        <v>996.7845659163987</v>
      </c>
      <c r="AY16" s="98">
        <v>1077.170418006431</v>
      </c>
      <c r="AZ16" s="98">
        <v>836.0128617363345</v>
      </c>
      <c r="BA16" s="100" t="s">
        <v>550</v>
      </c>
      <c r="BB16" s="100" t="s">
        <v>550</v>
      </c>
      <c r="BC16" s="100" t="s">
        <v>550</v>
      </c>
      <c r="BD16" s="158">
        <v>0.7473565674</v>
      </c>
      <c r="BE16" s="158">
        <v>1.0729209899999999</v>
      </c>
      <c r="BF16" s="162">
        <v>867</v>
      </c>
      <c r="BG16" s="162">
        <v>791</v>
      </c>
      <c r="BH16" s="162">
        <v>1338</v>
      </c>
      <c r="BI16" s="162">
        <v>868</v>
      </c>
      <c r="BJ16" s="162">
        <v>433</v>
      </c>
      <c r="BK16" s="97"/>
      <c r="BL16" s="97"/>
      <c r="BM16" s="97"/>
      <c r="BN16" s="97"/>
    </row>
    <row r="17" spans="1:66" ht="12.75">
      <c r="A17" s="79" t="s">
        <v>537</v>
      </c>
      <c r="B17" s="79" t="s">
        <v>314</v>
      </c>
      <c r="C17" s="79" t="s">
        <v>196</v>
      </c>
      <c r="D17" s="99">
        <v>7686</v>
      </c>
      <c r="E17" s="99">
        <v>1697</v>
      </c>
      <c r="F17" s="99" t="s">
        <v>343</v>
      </c>
      <c r="G17" s="99">
        <v>57</v>
      </c>
      <c r="H17" s="99">
        <v>19</v>
      </c>
      <c r="I17" s="99">
        <v>128</v>
      </c>
      <c r="J17" s="99">
        <v>1022</v>
      </c>
      <c r="K17" s="99">
        <v>985</v>
      </c>
      <c r="L17" s="99">
        <v>1427</v>
      </c>
      <c r="M17" s="99">
        <v>702</v>
      </c>
      <c r="N17" s="99">
        <v>347</v>
      </c>
      <c r="O17" s="99">
        <v>153</v>
      </c>
      <c r="P17" s="159">
        <v>153</v>
      </c>
      <c r="Q17" s="99">
        <v>19</v>
      </c>
      <c r="R17" s="99">
        <v>46</v>
      </c>
      <c r="S17" s="99" t="s">
        <v>550</v>
      </c>
      <c r="T17" s="99">
        <v>30</v>
      </c>
      <c r="U17" s="99">
        <v>11</v>
      </c>
      <c r="V17" s="99">
        <v>35</v>
      </c>
      <c r="W17" s="99">
        <v>74</v>
      </c>
      <c r="X17" s="99">
        <v>28</v>
      </c>
      <c r="Y17" s="99">
        <v>114</v>
      </c>
      <c r="Z17" s="99">
        <v>44</v>
      </c>
      <c r="AA17" s="99" t="s">
        <v>550</v>
      </c>
      <c r="AB17" s="99" t="s">
        <v>550</v>
      </c>
      <c r="AC17" s="99" t="s">
        <v>550</v>
      </c>
      <c r="AD17" s="98" t="s">
        <v>321</v>
      </c>
      <c r="AE17" s="100">
        <v>0.22079104865990112</v>
      </c>
      <c r="AF17" s="100">
        <v>0.1</v>
      </c>
      <c r="AG17" s="98">
        <v>741.608118657299</v>
      </c>
      <c r="AH17" s="98">
        <v>247.20270621909967</v>
      </c>
      <c r="AI17" s="100">
        <v>0.017</v>
      </c>
      <c r="AJ17" s="100">
        <v>0.823529</v>
      </c>
      <c r="AK17" s="100">
        <v>0.820833</v>
      </c>
      <c r="AL17" s="100">
        <v>0.761879</v>
      </c>
      <c r="AM17" s="100">
        <v>0.612031</v>
      </c>
      <c r="AN17" s="100">
        <v>0.641405</v>
      </c>
      <c r="AO17" s="98">
        <v>1990.6323185011709</v>
      </c>
      <c r="AP17" s="158">
        <v>0.8978135681</v>
      </c>
      <c r="AQ17" s="100">
        <v>0.12418300653594772</v>
      </c>
      <c r="AR17" s="100">
        <v>0.41304347826086957</v>
      </c>
      <c r="AS17" s="98" t="s">
        <v>550</v>
      </c>
      <c r="AT17" s="98">
        <v>390.32006245121</v>
      </c>
      <c r="AU17" s="98">
        <v>143.11735623211032</v>
      </c>
      <c r="AV17" s="98">
        <v>455.3734061930783</v>
      </c>
      <c r="AW17" s="98">
        <v>962.7894873796513</v>
      </c>
      <c r="AX17" s="98">
        <v>364.29872495446267</v>
      </c>
      <c r="AY17" s="98">
        <v>1483.216237314598</v>
      </c>
      <c r="AZ17" s="98">
        <v>572.4694249284413</v>
      </c>
      <c r="BA17" s="100" t="s">
        <v>550</v>
      </c>
      <c r="BB17" s="100" t="s">
        <v>550</v>
      </c>
      <c r="BC17" s="100" t="s">
        <v>550</v>
      </c>
      <c r="BD17" s="158">
        <v>0.7611885071000001</v>
      </c>
      <c r="BE17" s="158">
        <v>1.051881866</v>
      </c>
      <c r="BF17" s="162">
        <v>1241</v>
      </c>
      <c r="BG17" s="162">
        <v>1200</v>
      </c>
      <c r="BH17" s="162">
        <v>1873</v>
      </c>
      <c r="BI17" s="162">
        <v>1147</v>
      </c>
      <c r="BJ17" s="162">
        <v>541</v>
      </c>
      <c r="BK17" s="97"/>
      <c r="BL17" s="97"/>
      <c r="BM17" s="97"/>
      <c r="BN17" s="97"/>
    </row>
    <row r="18" spans="1:66" ht="12.75">
      <c r="A18" s="79" t="s">
        <v>519</v>
      </c>
      <c r="B18" s="79" t="s">
        <v>295</v>
      </c>
      <c r="C18" s="79" t="s">
        <v>196</v>
      </c>
      <c r="D18" s="99">
        <v>8328</v>
      </c>
      <c r="E18" s="99">
        <v>2057</v>
      </c>
      <c r="F18" s="99" t="s">
        <v>343</v>
      </c>
      <c r="G18" s="99">
        <v>53</v>
      </c>
      <c r="H18" s="99">
        <v>27</v>
      </c>
      <c r="I18" s="99">
        <v>220</v>
      </c>
      <c r="J18" s="99">
        <v>1038</v>
      </c>
      <c r="K18" s="99">
        <v>996</v>
      </c>
      <c r="L18" s="99">
        <v>1482</v>
      </c>
      <c r="M18" s="99">
        <v>758</v>
      </c>
      <c r="N18" s="99">
        <v>420</v>
      </c>
      <c r="O18" s="99">
        <v>347</v>
      </c>
      <c r="P18" s="159">
        <v>347</v>
      </c>
      <c r="Q18" s="99">
        <v>29</v>
      </c>
      <c r="R18" s="99">
        <v>55</v>
      </c>
      <c r="S18" s="99">
        <v>80</v>
      </c>
      <c r="T18" s="99">
        <v>46</v>
      </c>
      <c r="U18" s="99">
        <v>20</v>
      </c>
      <c r="V18" s="99">
        <v>80</v>
      </c>
      <c r="W18" s="99">
        <v>67</v>
      </c>
      <c r="X18" s="99">
        <v>35</v>
      </c>
      <c r="Y18" s="99">
        <v>137</v>
      </c>
      <c r="Z18" s="99">
        <v>77</v>
      </c>
      <c r="AA18" s="99" t="s">
        <v>550</v>
      </c>
      <c r="AB18" s="99" t="s">
        <v>550</v>
      </c>
      <c r="AC18" s="99" t="s">
        <v>550</v>
      </c>
      <c r="AD18" s="98" t="s">
        <v>321</v>
      </c>
      <c r="AE18" s="100">
        <v>0.24699807877041308</v>
      </c>
      <c r="AF18" s="100">
        <v>0.1</v>
      </c>
      <c r="AG18" s="98">
        <v>636.4073006724303</v>
      </c>
      <c r="AH18" s="98">
        <v>324.20749279538904</v>
      </c>
      <c r="AI18" s="100">
        <v>0.026000000000000002</v>
      </c>
      <c r="AJ18" s="100">
        <v>0.821203</v>
      </c>
      <c r="AK18" s="100">
        <v>0.819753</v>
      </c>
      <c r="AL18" s="100">
        <v>0.787879</v>
      </c>
      <c r="AM18" s="100">
        <v>0.612773</v>
      </c>
      <c r="AN18" s="100">
        <v>0.637329</v>
      </c>
      <c r="AO18" s="98">
        <v>4166.666666666667</v>
      </c>
      <c r="AP18" s="158">
        <v>1.8197444150000002</v>
      </c>
      <c r="AQ18" s="100">
        <v>0.08357348703170028</v>
      </c>
      <c r="AR18" s="100">
        <v>0.5272727272727272</v>
      </c>
      <c r="AS18" s="98">
        <v>960.6147934678194</v>
      </c>
      <c r="AT18" s="98">
        <v>552.3535062439962</v>
      </c>
      <c r="AU18" s="98">
        <v>240.15369836695484</v>
      </c>
      <c r="AV18" s="98">
        <v>960.6147934678194</v>
      </c>
      <c r="AW18" s="98">
        <v>804.5148895292988</v>
      </c>
      <c r="AX18" s="98">
        <v>420.268972142171</v>
      </c>
      <c r="AY18" s="98">
        <v>1645.0528338136407</v>
      </c>
      <c r="AZ18" s="98">
        <v>924.5917387127762</v>
      </c>
      <c r="BA18" s="100" t="s">
        <v>550</v>
      </c>
      <c r="BB18" s="100" t="s">
        <v>550</v>
      </c>
      <c r="BC18" s="100" t="s">
        <v>550</v>
      </c>
      <c r="BD18" s="158">
        <v>1.633291931</v>
      </c>
      <c r="BE18" s="158">
        <v>2.021649017</v>
      </c>
      <c r="BF18" s="162">
        <v>1264</v>
      </c>
      <c r="BG18" s="162">
        <v>1215</v>
      </c>
      <c r="BH18" s="162">
        <v>1881</v>
      </c>
      <c r="BI18" s="162">
        <v>1237</v>
      </c>
      <c r="BJ18" s="162">
        <v>659</v>
      </c>
      <c r="BK18" s="97"/>
      <c r="BL18" s="97"/>
      <c r="BM18" s="97"/>
      <c r="BN18" s="97"/>
    </row>
    <row r="19" spans="1:66" ht="12.75">
      <c r="A19" s="79" t="s">
        <v>522</v>
      </c>
      <c r="B19" s="79" t="s">
        <v>298</v>
      </c>
      <c r="C19" s="79" t="s">
        <v>196</v>
      </c>
      <c r="D19" s="99">
        <v>6328</v>
      </c>
      <c r="E19" s="99">
        <v>1259</v>
      </c>
      <c r="F19" s="99" t="s">
        <v>344</v>
      </c>
      <c r="G19" s="99">
        <v>28</v>
      </c>
      <c r="H19" s="99">
        <v>13</v>
      </c>
      <c r="I19" s="99">
        <v>82</v>
      </c>
      <c r="J19" s="99">
        <v>520</v>
      </c>
      <c r="K19" s="99" t="s">
        <v>550</v>
      </c>
      <c r="L19" s="99">
        <v>929</v>
      </c>
      <c r="M19" s="99">
        <v>356</v>
      </c>
      <c r="N19" s="99">
        <v>189</v>
      </c>
      <c r="O19" s="99">
        <v>132</v>
      </c>
      <c r="P19" s="159">
        <v>132</v>
      </c>
      <c r="Q19" s="99">
        <v>15</v>
      </c>
      <c r="R19" s="99">
        <v>25</v>
      </c>
      <c r="S19" s="99">
        <v>30</v>
      </c>
      <c r="T19" s="99">
        <v>30</v>
      </c>
      <c r="U19" s="99" t="s">
        <v>550</v>
      </c>
      <c r="V19" s="99">
        <v>20</v>
      </c>
      <c r="W19" s="99">
        <v>27</v>
      </c>
      <c r="X19" s="99">
        <v>51</v>
      </c>
      <c r="Y19" s="99">
        <v>73</v>
      </c>
      <c r="Z19" s="99">
        <v>34</v>
      </c>
      <c r="AA19" s="99" t="s">
        <v>550</v>
      </c>
      <c r="AB19" s="99" t="s">
        <v>550</v>
      </c>
      <c r="AC19" s="99" t="s">
        <v>550</v>
      </c>
      <c r="AD19" s="98" t="s">
        <v>321</v>
      </c>
      <c r="AE19" s="100">
        <v>0.19895701643489255</v>
      </c>
      <c r="AF19" s="100">
        <v>0.16</v>
      </c>
      <c r="AG19" s="98">
        <v>442.4778761061947</v>
      </c>
      <c r="AH19" s="98">
        <v>205.4361567635904</v>
      </c>
      <c r="AI19" s="100">
        <v>0.013000000000000001</v>
      </c>
      <c r="AJ19" s="100">
        <v>0.753623</v>
      </c>
      <c r="AK19" s="100" t="s">
        <v>550</v>
      </c>
      <c r="AL19" s="100">
        <v>0.746785</v>
      </c>
      <c r="AM19" s="100">
        <v>0.515195</v>
      </c>
      <c r="AN19" s="100">
        <v>0.522099</v>
      </c>
      <c r="AO19" s="98">
        <v>2085.9671302149177</v>
      </c>
      <c r="AP19" s="158">
        <v>1.033352432</v>
      </c>
      <c r="AQ19" s="100">
        <v>0.11363636363636363</v>
      </c>
      <c r="AR19" s="100">
        <v>0.6</v>
      </c>
      <c r="AS19" s="98">
        <v>474.0834386852086</v>
      </c>
      <c r="AT19" s="98">
        <v>474.0834386852086</v>
      </c>
      <c r="AU19" s="98" t="s">
        <v>550</v>
      </c>
      <c r="AV19" s="98">
        <v>316.05562579013906</v>
      </c>
      <c r="AW19" s="98">
        <v>426.67509481668776</v>
      </c>
      <c r="AX19" s="98">
        <v>805.9418457648546</v>
      </c>
      <c r="AY19" s="98">
        <v>1153.6030341340077</v>
      </c>
      <c r="AZ19" s="98">
        <v>537.2945638432365</v>
      </c>
      <c r="BA19" s="100" t="s">
        <v>550</v>
      </c>
      <c r="BB19" s="100" t="s">
        <v>550</v>
      </c>
      <c r="BC19" s="100" t="s">
        <v>550</v>
      </c>
      <c r="BD19" s="158">
        <v>0.8645974731</v>
      </c>
      <c r="BE19" s="158">
        <v>1.225424118</v>
      </c>
      <c r="BF19" s="162">
        <v>690</v>
      </c>
      <c r="BG19" s="162" t="s">
        <v>550</v>
      </c>
      <c r="BH19" s="162">
        <v>1244</v>
      </c>
      <c r="BI19" s="162">
        <v>691</v>
      </c>
      <c r="BJ19" s="162">
        <v>362</v>
      </c>
      <c r="BK19" s="97"/>
      <c r="BL19" s="97"/>
      <c r="BM19" s="97"/>
      <c r="BN19" s="97"/>
    </row>
    <row r="20" spans="1:66" ht="12.75">
      <c r="A20" s="79" t="s">
        <v>536</v>
      </c>
      <c r="B20" s="79" t="s">
        <v>313</v>
      </c>
      <c r="C20" s="79" t="s">
        <v>196</v>
      </c>
      <c r="D20" s="99">
        <v>6271</v>
      </c>
      <c r="E20" s="99">
        <v>1168</v>
      </c>
      <c r="F20" s="99" t="s">
        <v>344</v>
      </c>
      <c r="G20" s="99">
        <v>41</v>
      </c>
      <c r="H20" s="99">
        <v>17</v>
      </c>
      <c r="I20" s="99">
        <v>127</v>
      </c>
      <c r="J20" s="99">
        <v>505</v>
      </c>
      <c r="K20" s="99">
        <v>13</v>
      </c>
      <c r="L20" s="99">
        <v>1140</v>
      </c>
      <c r="M20" s="99">
        <v>357</v>
      </c>
      <c r="N20" s="99">
        <v>185</v>
      </c>
      <c r="O20" s="99">
        <v>181</v>
      </c>
      <c r="P20" s="159">
        <v>181</v>
      </c>
      <c r="Q20" s="99">
        <v>20</v>
      </c>
      <c r="R20" s="99">
        <v>35</v>
      </c>
      <c r="S20" s="99">
        <v>24</v>
      </c>
      <c r="T20" s="99">
        <v>26</v>
      </c>
      <c r="U20" s="99" t="s">
        <v>550</v>
      </c>
      <c r="V20" s="99">
        <v>24</v>
      </c>
      <c r="W20" s="99">
        <v>30</v>
      </c>
      <c r="X20" s="99">
        <v>54</v>
      </c>
      <c r="Y20" s="99">
        <v>102</v>
      </c>
      <c r="Z20" s="99">
        <v>60</v>
      </c>
      <c r="AA20" s="99" t="s">
        <v>550</v>
      </c>
      <c r="AB20" s="99" t="s">
        <v>550</v>
      </c>
      <c r="AC20" s="99" t="s">
        <v>550</v>
      </c>
      <c r="AD20" s="98" t="s">
        <v>321</v>
      </c>
      <c r="AE20" s="100">
        <v>0.18625418593525753</v>
      </c>
      <c r="AF20" s="100">
        <v>0.14</v>
      </c>
      <c r="AG20" s="98">
        <v>653.8032211768458</v>
      </c>
      <c r="AH20" s="98">
        <v>271.08914048796044</v>
      </c>
      <c r="AI20" s="100">
        <v>0.02</v>
      </c>
      <c r="AJ20" s="100">
        <v>0.728716</v>
      </c>
      <c r="AK20" s="100">
        <v>0.684211</v>
      </c>
      <c r="AL20" s="100">
        <v>0.749014</v>
      </c>
      <c r="AM20" s="100">
        <v>0.545872</v>
      </c>
      <c r="AN20" s="100">
        <v>0.558912</v>
      </c>
      <c r="AO20" s="98">
        <v>2886.3020251953435</v>
      </c>
      <c r="AP20" s="158">
        <v>1.4934828189999998</v>
      </c>
      <c r="AQ20" s="100">
        <v>0.11049723756906077</v>
      </c>
      <c r="AR20" s="100">
        <v>0.5714285714285714</v>
      </c>
      <c r="AS20" s="98">
        <v>382.71408068888536</v>
      </c>
      <c r="AT20" s="98">
        <v>414.6069207462925</v>
      </c>
      <c r="AU20" s="98" t="s">
        <v>550</v>
      </c>
      <c r="AV20" s="98">
        <v>382.71408068888536</v>
      </c>
      <c r="AW20" s="98">
        <v>478.3926008611067</v>
      </c>
      <c r="AX20" s="98">
        <v>861.106681549992</v>
      </c>
      <c r="AY20" s="98">
        <v>1626.5348429277626</v>
      </c>
      <c r="AZ20" s="98">
        <v>956.7852017222134</v>
      </c>
      <c r="BA20" s="100" t="s">
        <v>550</v>
      </c>
      <c r="BB20" s="100" t="s">
        <v>550</v>
      </c>
      <c r="BC20" s="100" t="s">
        <v>550</v>
      </c>
      <c r="BD20" s="158">
        <v>1.2838252259999998</v>
      </c>
      <c r="BE20" s="158">
        <v>1.727616272</v>
      </c>
      <c r="BF20" s="162">
        <v>693</v>
      </c>
      <c r="BG20" s="162">
        <v>19</v>
      </c>
      <c r="BH20" s="162">
        <v>1522</v>
      </c>
      <c r="BI20" s="162">
        <v>654</v>
      </c>
      <c r="BJ20" s="162">
        <v>331</v>
      </c>
      <c r="BK20" s="97"/>
      <c r="BL20" s="97"/>
      <c r="BM20" s="97"/>
      <c r="BN20" s="97"/>
    </row>
    <row r="21" spans="1:66" ht="12.75">
      <c r="A21" s="79" t="s">
        <v>534</v>
      </c>
      <c r="B21" s="79" t="s">
        <v>311</v>
      </c>
      <c r="C21" s="79" t="s">
        <v>196</v>
      </c>
      <c r="D21" s="99">
        <v>5175</v>
      </c>
      <c r="E21" s="99">
        <v>798</v>
      </c>
      <c r="F21" s="99" t="s">
        <v>341</v>
      </c>
      <c r="G21" s="99">
        <v>17</v>
      </c>
      <c r="H21" s="99">
        <v>14</v>
      </c>
      <c r="I21" s="99">
        <v>103</v>
      </c>
      <c r="J21" s="99">
        <v>450</v>
      </c>
      <c r="K21" s="99">
        <v>441</v>
      </c>
      <c r="L21" s="99">
        <v>930</v>
      </c>
      <c r="M21" s="99">
        <v>265</v>
      </c>
      <c r="N21" s="99">
        <v>151</v>
      </c>
      <c r="O21" s="99">
        <v>162</v>
      </c>
      <c r="P21" s="159">
        <v>162</v>
      </c>
      <c r="Q21" s="99">
        <v>15</v>
      </c>
      <c r="R21" s="99">
        <v>26</v>
      </c>
      <c r="S21" s="99">
        <v>34</v>
      </c>
      <c r="T21" s="99">
        <v>23</v>
      </c>
      <c r="U21" s="99">
        <v>7</v>
      </c>
      <c r="V21" s="99">
        <v>23</v>
      </c>
      <c r="W21" s="99">
        <v>19</v>
      </c>
      <c r="X21" s="99">
        <v>48</v>
      </c>
      <c r="Y21" s="99">
        <v>90</v>
      </c>
      <c r="Z21" s="99">
        <v>48</v>
      </c>
      <c r="AA21" s="99" t="s">
        <v>550</v>
      </c>
      <c r="AB21" s="99" t="s">
        <v>550</v>
      </c>
      <c r="AC21" s="99" t="s">
        <v>550</v>
      </c>
      <c r="AD21" s="98" t="s">
        <v>321</v>
      </c>
      <c r="AE21" s="100">
        <v>0.15420289855072464</v>
      </c>
      <c r="AF21" s="100">
        <v>0.19</v>
      </c>
      <c r="AG21" s="98">
        <v>328.5024154589372</v>
      </c>
      <c r="AH21" s="98">
        <v>270.5314009661836</v>
      </c>
      <c r="AI21" s="100">
        <v>0.02</v>
      </c>
      <c r="AJ21" s="100">
        <v>0.737705</v>
      </c>
      <c r="AK21" s="100">
        <v>0.746193</v>
      </c>
      <c r="AL21" s="100">
        <v>0.729984</v>
      </c>
      <c r="AM21" s="100">
        <v>0.477477</v>
      </c>
      <c r="AN21" s="100">
        <v>0.547101</v>
      </c>
      <c r="AO21" s="98">
        <v>3130.4347826086955</v>
      </c>
      <c r="AP21" s="158">
        <v>1.724073486</v>
      </c>
      <c r="AQ21" s="100">
        <v>0.09259259259259259</v>
      </c>
      <c r="AR21" s="100">
        <v>0.5769230769230769</v>
      </c>
      <c r="AS21" s="98">
        <v>657.0048309178744</v>
      </c>
      <c r="AT21" s="98">
        <v>444.44444444444446</v>
      </c>
      <c r="AU21" s="98">
        <v>135.2657004830918</v>
      </c>
      <c r="AV21" s="98">
        <v>444.44444444444446</v>
      </c>
      <c r="AW21" s="98">
        <v>367.1497584541063</v>
      </c>
      <c r="AX21" s="98">
        <v>927.536231884058</v>
      </c>
      <c r="AY21" s="98">
        <v>1739.1304347826087</v>
      </c>
      <c r="AZ21" s="98">
        <v>927.536231884058</v>
      </c>
      <c r="BA21" s="100" t="s">
        <v>550</v>
      </c>
      <c r="BB21" s="100" t="s">
        <v>550</v>
      </c>
      <c r="BC21" s="100" t="s">
        <v>550</v>
      </c>
      <c r="BD21" s="158">
        <v>1.4688037109999998</v>
      </c>
      <c r="BE21" s="158">
        <v>2.010955353</v>
      </c>
      <c r="BF21" s="162">
        <v>610</v>
      </c>
      <c r="BG21" s="162">
        <v>591</v>
      </c>
      <c r="BH21" s="162">
        <v>1274</v>
      </c>
      <c r="BI21" s="162">
        <v>555</v>
      </c>
      <c r="BJ21" s="162">
        <v>276</v>
      </c>
      <c r="BK21" s="97"/>
      <c r="BL21" s="97"/>
      <c r="BM21" s="97"/>
      <c r="BN21" s="97"/>
    </row>
    <row r="22" spans="1:66" ht="12.75">
      <c r="A22" s="79" t="s">
        <v>517</v>
      </c>
      <c r="B22" s="79" t="s">
        <v>293</v>
      </c>
      <c r="C22" s="79" t="s">
        <v>196</v>
      </c>
      <c r="D22" s="99">
        <v>8410</v>
      </c>
      <c r="E22" s="99">
        <v>1508</v>
      </c>
      <c r="F22" s="99" t="s">
        <v>343</v>
      </c>
      <c r="G22" s="99">
        <v>42</v>
      </c>
      <c r="H22" s="99">
        <v>26</v>
      </c>
      <c r="I22" s="99">
        <v>122</v>
      </c>
      <c r="J22" s="99">
        <v>759</v>
      </c>
      <c r="K22" s="99">
        <v>13</v>
      </c>
      <c r="L22" s="99">
        <v>1693</v>
      </c>
      <c r="M22" s="99">
        <v>576</v>
      </c>
      <c r="N22" s="99">
        <v>301</v>
      </c>
      <c r="O22" s="99">
        <v>153</v>
      </c>
      <c r="P22" s="159">
        <v>153</v>
      </c>
      <c r="Q22" s="99">
        <v>20</v>
      </c>
      <c r="R22" s="99">
        <v>48</v>
      </c>
      <c r="S22" s="99">
        <v>34</v>
      </c>
      <c r="T22" s="99">
        <v>16</v>
      </c>
      <c r="U22" s="99">
        <v>6</v>
      </c>
      <c r="V22" s="99">
        <v>37</v>
      </c>
      <c r="W22" s="99">
        <v>37</v>
      </c>
      <c r="X22" s="99">
        <v>50</v>
      </c>
      <c r="Y22" s="99">
        <v>108</v>
      </c>
      <c r="Z22" s="99">
        <v>64</v>
      </c>
      <c r="AA22" s="99" t="s">
        <v>550</v>
      </c>
      <c r="AB22" s="99" t="s">
        <v>550</v>
      </c>
      <c r="AC22" s="99" t="s">
        <v>550</v>
      </c>
      <c r="AD22" s="98" t="s">
        <v>321</v>
      </c>
      <c r="AE22" s="100">
        <v>0.1793103448275862</v>
      </c>
      <c r="AF22" s="100">
        <v>0.11</v>
      </c>
      <c r="AG22" s="98">
        <v>499.40546967895364</v>
      </c>
      <c r="AH22" s="98">
        <v>309.15576694411413</v>
      </c>
      <c r="AI22" s="100">
        <v>0.015</v>
      </c>
      <c r="AJ22" s="100">
        <v>0.720798</v>
      </c>
      <c r="AK22" s="100">
        <v>0.8125</v>
      </c>
      <c r="AL22" s="100">
        <v>0.803894</v>
      </c>
      <c r="AM22" s="100">
        <v>0.595041</v>
      </c>
      <c r="AN22" s="100">
        <v>0.59604</v>
      </c>
      <c r="AO22" s="98">
        <v>1819.2627824019025</v>
      </c>
      <c r="AP22" s="158">
        <v>0.9245401764000001</v>
      </c>
      <c r="AQ22" s="100">
        <v>0.13071895424836602</v>
      </c>
      <c r="AR22" s="100">
        <v>0.4166666666666667</v>
      </c>
      <c r="AS22" s="98">
        <v>404.2806183115339</v>
      </c>
      <c r="AT22" s="98">
        <v>190.24970273483947</v>
      </c>
      <c r="AU22" s="98">
        <v>71.3436385255648</v>
      </c>
      <c r="AV22" s="98">
        <v>439.95243757431626</v>
      </c>
      <c r="AW22" s="98">
        <v>439.95243757431626</v>
      </c>
      <c r="AX22" s="98">
        <v>594.5303210463734</v>
      </c>
      <c r="AY22" s="98">
        <v>1284.1854934601665</v>
      </c>
      <c r="AZ22" s="98">
        <v>760.9988109393579</v>
      </c>
      <c r="BA22" s="100" t="s">
        <v>550</v>
      </c>
      <c r="BB22" s="100" t="s">
        <v>550</v>
      </c>
      <c r="BC22" s="100" t="s">
        <v>550</v>
      </c>
      <c r="BD22" s="158">
        <v>0.7838479614</v>
      </c>
      <c r="BE22" s="158">
        <v>1.083194809</v>
      </c>
      <c r="BF22" s="162">
        <v>1053</v>
      </c>
      <c r="BG22" s="162">
        <v>16</v>
      </c>
      <c r="BH22" s="162">
        <v>2106</v>
      </c>
      <c r="BI22" s="162">
        <v>968</v>
      </c>
      <c r="BJ22" s="162">
        <v>505</v>
      </c>
      <c r="BK22" s="97"/>
      <c r="BL22" s="97"/>
      <c r="BM22" s="97"/>
      <c r="BN22" s="97"/>
    </row>
    <row r="23" spans="1:66" ht="12.75">
      <c r="A23" s="79" t="s">
        <v>511</v>
      </c>
      <c r="B23" s="79" t="s">
        <v>287</v>
      </c>
      <c r="C23" s="79" t="s">
        <v>196</v>
      </c>
      <c r="D23" s="99">
        <v>7766</v>
      </c>
      <c r="E23" s="99">
        <v>1809</v>
      </c>
      <c r="F23" s="99" t="s">
        <v>345</v>
      </c>
      <c r="G23" s="99">
        <v>31</v>
      </c>
      <c r="H23" s="99">
        <v>20</v>
      </c>
      <c r="I23" s="99">
        <v>176</v>
      </c>
      <c r="J23" s="99">
        <v>894</v>
      </c>
      <c r="K23" s="99">
        <v>707</v>
      </c>
      <c r="L23" s="99">
        <v>1478</v>
      </c>
      <c r="M23" s="99">
        <v>715</v>
      </c>
      <c r="N23" s="99">
        <v>377</v>
      </c>
      <c r="O23" s="99">
        <v>261</v>
      </c>
      <c r="P23" s="159">
        <v>261</v>
      </c>
      <c r="Q23" s="99">
        <v>28</v>
      </c>
      <c r="R23" s="99">
        <v>54</v>
      </c>
      <c r="S23" s="99">
        <v>29</v>
      </c>
      <c r="T23" s="99">
        <v>43</v>
      </c>
      <c r="U23" s="99">
        <v>8</v>
      </c>
      <c r="V23" s="99">
        <v>69</v>
      </c>
      <c r="W23" s="99">
        <v>33</v>
      </c>
      <c r="X23" s="99">
        <v>74</v>
      </c>
      <c r="Y23" s="99">
        <v>99</v>
      </c>
      <c r="Z23" s="99">
        <v>36</v>
      </c>
      <c r="AA23" s="99" t="s">
        <v>550</v>
      </c>
      <c r="AB23" s="99" t="s">
        <v>550</v>
      </c>
      <c r="AC23" s="99" t="s">
        <v>550</v>
      </c>
      <c r="AD23" s="98" t="s">
        <v>321</v>
      </c>
      <c r="AE23" s="100">
        <v>0.23293844965233068</v>
      </c>
      <c r="AF23" s="100">
        <v>0.06</v>
      </c>
      <c r="AG23" s="98">
        <v>399.1758949266031</v>
      </c>
      <c r="AH23" s="98">
        <v>257.53283543651816</v>
      </c>
      <c r="AI23" s="100">
        <v>0.023</v>
      </c>
      <c r="AJ23" s="100">
        <v>0.782837</v>
      </c>
      <c r="AK23" s="100">
        <v>0.804323</v>
      </c>
      <c r="AL23" s="100">
        <v>0.806328</v>
      </c>
      <c r="AM23" s="100">
        <v>0.636687</v>
      </c>
      <c r="AN23" s="100">
        <v>0.659091</v>
      </c>
      <c r="AO23" s="98">
        <v>3360.803502446562</v>
      </c>
      <c r="AP23" s="158">
        <v>1.51803421</v>
      </c>
      <c r="AQ23" s="100">
        <v>0.10727969348659004</v>
      </c>
      <c r="AR23" s="100">
        <v>0.5185185185185185</v>
      </c>
      <c r="AS23" s="98">
        <v>373.42261138295135</v>
      </c>
      <c r="AT23" s="98">
        <v>553.6955961885141</v>
      </c>
      <c r="AU23" s="98">
        <v>103.01313417460726</v>
      </c>
      <c r="AV23" s="98">
        <v>888.4882822559877</v>
      </c>
      <c r="AW23" s="98">
        <v>424.92917847025495</v>
      </c>
      <c r="AX23" s="98">
        <v>952.8714911151171</v>
      </c>
      <c r="AY23" s="98">
        <v>1274.7875354107648</v>
      </c>
      <c r="AZ23" s="98">
        <v>463.5591037857327</v>
      </c>
      <c r="BA23" s="100" t="s">
        <v>550</v>
      </c>
      <c r="BB23" s="100" t="s">
        <v>550</v>
      </c>
      <c r="BC23" s="100" t="s">
        <v>550</v>
      </c>
      <c r="BD23" s="158">
        <v>1.339437408</v>
      </c>
      <c r="BE23" s="158">
        <v>1.713814545</v>
      </c>
      <c r="BF23" s="162">
        <v>1142</v>
      </c>
      <c r="BG23" s="162">
        <v>879</v>
      </c>
      <c r="BH23" s="162">
        <v>1833</v>
      </c>
      <c r="BI23" s="162">
        <v>1123</v>
      </c>
      <c r="BJ23" s="162">
        <v>572</v>
      </c>
      <c r="BK23" s="97"/>
      <c r="BL23" s="97"/>
      <c r="BM23" s="97"/>
      <c r="BN23" s="97"/>
    </row>
    <row r="24" spans="1:66" ht="12.75">
      <c r="A24" s="79" t="s">
        <v>521</v>
      </c>
      <c r="B24" s="79" t="s">
        <v>297</v>
      </c>
      <c r="C24" s="79" t="s">
        <v>196</v>
      </c>
      <c r="D24" s="99">
        <v>9686</v>
      </c>
      <c r="E24" s="99">
        <v>1354</v>
      </c>
      <c r="F24" s="99" t="s">
        <v>344</v>
      </c>
      <c r="G24" s="99">
        <v>36</v>
      </c>
      <c r="H24" s="99">
        <v>26</v>
      </c>
      <c r="I24" s="99">
        <v>131</v>
      </c>
      <c r="J24" s="99">
        <v>630</v>
      </c>
      <c r="K24" s="99">
        <v>11</v>
      </c>
      <c r="L24" s="99">
        <v>1961</v>
      </c>
      <c r="M24" s="99">
        <v>436</v>
      </c>
      <c r="N24" s="99">
        <v>239</v>
      </c>
      <c r="O24" s="99">
        <v>207</v>
      </c>
      <c r="P24" s="159">
        <v>207</v>
      </c>
      <c r="Q24" s="99">
        <v>20</v>
      </c>
      <c r="R24" s="99">
        <v>35</v>
      </c>
      <c r="S24" s="99">
        <v>53</v>
      </c>
      <c r="T24" s="99">
        <v>17</v>
      </c>
      <c r="U24" s="99">
        <v>8</v>
      </c>
      <c r="V24" s="99">
        <v>38</v>
      </c>
      <c r="W24" s="99">
        <v>26</v>
      </c>
      <c r="X24" s="99">
        <v>52</v>
      </c>
      <c r="Y24" s="99">
        <v>119</v>
      </c>
      <c r="Z24" s="99">
        <v>48</v>
      </c>
      <c r="AA24" s="99" t="s">
        <v>550</v>
      </c>
      <c r="AB24" s="99" t="s">
        <v>550</v>
      </c>
      <c r="AC24" s="99" t="s">
        <v>550</v>
      </c>
      <c r="AD24" s="98" t="s">
        <v>321</v>
      </c>
      <c r="AE24" s="100">
        <v>0.13978938674375388</v>
      </c>
      <c r="AF24" s="100">
        <v>0.14</v>
      </c>
      <c r="AG24" s="98">
        <v>371.6704521990502</v>
      </c>
      <c r="AH24" s="98">
        <v>268.4286599215362</v>
      </c>
      <c r="AI24" s="100">
        <v>0.013999999999999999</v>
      </c>
      <c r="AJ24" s="100">
        <v>0.655567</v>
      </c>
      <c r="AK24" s="100">
        <v>0.6875</v>
      </c>
      <c r="AL24" s="100">
        <v>0.786602</v>
      </c>
      <c r="AM24" s="100">
        <v>0.540273</v>
      </c>
      <c r="AN24" s="100">
        <v>0.573141</v>
      </c>
      <c r="AO24" s="98">
        <v>2137.1051001445385</v>
      </c>
      <c r="AP24" s="158">
        <v>1.23148201</v>
      </c>
      <c r="AQ24" s="100">
        <v>0.0966183574879227</v>
      </c>
      <c r="AR24" s="100">
        <v>0.5714285714285714</v>
      </c>
      <c r="AS24" s="98">
        <v>547.1814990708239</v>
      </c>
      <c r="AT24" s="98">
        <v>175.5110468717737</v>
      </c>
      <c r="AU24" s="98">
        <v>82.59343382201115</v>
      </c>
      <c r="AV24" s="98">
        <v>392.318810654553</v>
      </c>
      <c r="AW24" s="98">
        <v>268.4286599215362</v>
      </c>
      <c r="AX24" s="98">
        <v>536.8573198430724</v>
      </c>
      <c r="AY24" s="98">
        <v>1228.5773281024158</v>
      </c>
      <c r="AZ24" s="98">
        <v>495.5606029320669</v>
      </c>
      <c r="BA24" s="100" t="s">
        <v>550</v>
      </c>
      <c r="BB24" s="100" t="s">
        <v>550</v>
      </c>
      <c r="BC24" s="100" t="s">
        <v>550</v>
      </c>
      <c r="BD24" s="158">
        <v>1.06942482</v>
      </c>
      <c r="BE24" s="158">
        <v>1.411158905</v>
      </c>
      <c r="BF24" s="162">
        <v>961</v>
      </c>
      <c r="BG24" s="162">
        <v>16</v>
      </c>
      <c r="BH24" s="162">
        <v>2493</v>
      </c>
      <c r="BI24" s="162">
        <v>807</v>
      </c>
      <c r="BJ24" s="162">
        <v>417</v>
      </c>
      <c r="BK24" s="97"/>
      <c r="BL24" s="97"/>
      <c r="BM24" s="97"/>
      <c r="BN24" s="97"/>
    </row>
    <row r="25" spans="1:66" ht="12.75">
      <c r="A25" s="79" t="s">
        <v>528</v>
      </c>
      <c r="B25" s="79" t="s">
        <v>305</v>
      </c>
      <c r="C25" s="79" t="s">
        <v>196</v>
      </c>
      <c r="D25" s="99">
        <v>5798</v>
      </c>
      <c r="E25" s="99">
        <v>1111</v>
      </c>
      <c r="F25" s="99" t="s">
        <v>343</v>
      </c>
      <c r="G25" s="99">
        <v>39</v>
      </c>
      <c r="H25" s="99">
        <v>17</v>
      </c>
      <c r="I25" s="99">
        <v>107</v>
      </c>
      <c r="J25" s="99">
        <v>648</v>
      </c>
      <c r="K25" s="99">
        <v>636</v>
      </c>
      <c r="L25" s="99">
        <v>1139</v>
      </c>
      <c r="M25" s="99">
        <v>458</v>
      </c>
      <c r="N25" s="99">
        <v>236</v>
      </c>
      <c r="O25" s="99">
        <v>123</v>
      </c>
      <c r="P25" s="159">
        <v>123</v>
      </c>
      <c r="Q25" s="99">
        <v>14</v>
      </c>
      <c r="R25" s="99">
        <v>30</v>
      </c>
      <c r="S25" s="99">
        <v>22</v>
      </c>
      <c r="T25" s="99">
        <v>20</v>
      </c>
      <c r="U25" s="99">
        <v>7</v>
      </c>
      <c r="V25" s="99">
        <v>21</v>
      </c>
      <c r="W25" s="99">
        <v>25</v>
      </c>
      <c r="X25" s="99">
        <v>46</v>
      </c>
      <c r="Y25" s="99">
        <v>95</v>
      </c>
      <c r="Z25" s="99">
        <v>50</v>
      </c>
      <c r="AA25" s="99" t="s">
        <v>550</v>
      </c>
      <c r="AB25" s="99" t="s">
        <v>550</v>
      </c>
      <c r="AC25" s="99" t="s">
        <v>550</v>
      </c>
      <c r="AD25" s="98" t="s">
        <v>321</v>
      </c>
      <c r="AE25" s="100">
        <v>0.19161779924111763</v>
      </c>
      <c r="AF25" s="100">
        <v>0.12</v>
      </c>
      <c r="AG25" s="98">
        <v>672.6457399103139</v>
      </c>
      <c r="AH25" s="98">
        <v>293.2045532942394</v>
      </c>
      <c r="AI25" s="100">
        <v>0.018000000000000002</v>
      </c>
      <c r="AJ25" s="100">
        <v>0.832905</v>
      </c>
      <c r="AK25" s="100">
        <v>0.834646</v>
      </c>
      <c r="AL25" s="100">
        <v>0.796503</v>
      </c>
      <c r="AM25" s="100">
        <v>0.612299</v>
      </c>
      <c r="AN25" s="100">
        <v>0.62766</v>
      </c>
      <c r="AO25" s="98">
        <v>2121.421179717144</v>
      </c>
      <c r="AP25" s="158">
        <v>1.050355148</v>
      </c>
      <c r="AQ25" s="100">
        <v>0.11382113821138211</v>
      </c>
      <c r="AR25" s="100">
        <v>0.4666666666666667</v>
      </c>
      <c r="AS25" s="98">
        <v>379.4411866160745</v>
      </c>
      <c r="AT25" s="98">
        <v>344.94653328734046</v>
      </c>
      <c r="AU25" s="98">
        <v>120.73128665056916</v>
      </c>
      <c r="AV25" s="98">
        <v>362.1938599517075</v>
      </c>
      <c r="AW25" s="98">
        <v>431.1831666091756</v>
      </c>
      <c r="AX25" s="98">
        <v>793.3770265608831</v>
      </c>
      <c r="AY25" s="98">
        <v>1638.4960331148673</v>
      </c>
      <c r="AZ25" s="98">
        <v>862.3663332183512</v>
      </c>
      <c r="BA25" s="100" t="s">
        <v>550</v>
      </c>
      <c r="BB25" s="100" t="s">
        <v>550</v>
      </c>
      <c r="BC25" s="100" t="s">
        <v>550</v>
      </c>
      <c r="BD25" s="158">
        <v>0.8729477692000001</v>
      </c>
      <c r="BE25" s="158">
        <v>1.253222427</v>
      </c>
      <c r="BF25" s="162">
        <v>778</v>
      </c>
      <c r="BG25" s="162">
        <v>762</v>
      </c>
      <c r="BH25" s="162">
        <v>1430</v>
      </c>
      <c r="BI25" s="162">
        <v>748</v>
      </c>
      <c r="BJ25" s="162">
        <v>376</v>
      </c>
      <c r="BK25" s="97"/>
      <c r="BL25" s="97"/>
      <c r="BM25" s="97"/>
      <c r="BN25" s="97"/>
    </row>
    <row r="26" spans="1:66" ht="12.75">
      <c r="A26" s="79" t="s">
        <v>518</v>
      </c>
      <c r="B26" s="79" t="s">
        <v>294</v>
      </c>
      <c r="C26" s="79" t="s">
        <v>196</v>
      </c>
      <c r="D26" s="99">
        <v>7462</v>
      </c>
      <c r="E26" s="99">
        <v>1374</v>
      </c>
      <c r="F26" s="99" t="s">
        <v>343</v>
      </c>
      <c r="G26" s="99">
        <v>50</v>
      </c>
      <c r="H26" s="99">
        <v>24</v>
      </c>
      <c r="I26" s="99">
        <v>165</v>
      </c>
      <c r="J26" s="99">
        <v>785</v>
      </c>
      <c r="K26" s="99">
        <v>658</v>
      </c>
      <c r="L26" s="99">
        <v>1397</v>
      </c>
      <c r="M26" s="99">
        <v>478</v>
      </c>
      <c r="N26" s="99">
        <v>241</v>
      </c>
      <c r="O26" s="99">
        <v>167</v>
      </c>
      <c r="P26" s="159">
        <v>167</v>
      </c>
      <c r="Q26" s="99">
        <v>24</v>
      </c>
      <c r="R26" s="99">
        <v>45</v>
      </c>
      <c r="S26" s="99">
        <v>35</v>
      </c>
      <c r="T26" s="99">
        <v>27</v>
      </c>
      <c r="U26" s="99">
        <v>8</v>
      </c>
      <c r="V26" s="99">
        <v>27</v>
      </c>
      <c r="W26" s="99">
        <v>31</v>
      </c>
      <c r="X26" s="99">
        <v>68</v>
      </c>
      <c r="Y26" s="99">
        <v>132</v>
      </c>
      <c r="Z26" s="99">
        <v>51</v>
      </c>
      <c r="AA26" s="99" t="s">
        <v>550</v>
      </c>
      <c r="AB26" s="99" t="s">
        <v>550</v>
      </c>
      <c r="AC26" s="99" t="s">
        <v>550</v>
      </c>
      <c r="AD26" s="98" t="s">
        <v>321</v>
      </c>
      <c r="AE26" s="100">
        <v>0.1841329402305012</v>
      </c>
      <c r="AF26" s="100">
        <v>0.12</v>
      </c>
      <c r="AG26" s="98">
        <v>670.0616456714017</v>
      </c>
      <c r="AH26" s="98">
        <v>321.6295899222728</v>
      </c>
      <c r="AI26" s="100">
        <v>0.022000000000000002</v>
      </c>
      <c r="AJ26" s="100">
        <v>0.764362</v>
      </c>
      <c r="AK26" s="100">
        <v>0.7669</v>
      </c>
      <c r="AL26" s="100">
        <v>0.734876</v>
      </c>
      <c r="AM26" s="100">
        <v>0.531111</v>
      </c>
      <c r="AN26" s="100">
        <v>0.584951</v>
      </c>
      <c r="AO26" s="98">
        <v>2238.005896542482</v>
      </c>
      <c r="AP26" s="158">
        <v>1.117898026</v>
      </c>
      <c r="AQ26" s="100">
        <v>0.1437125748502994</v>
      </c>
      <c r="AR26" s="100">
        <v>0.5333333333333333</v>
      </c>
      <c r="AS26" s="98">
        <v>469.04315196998124</v>
      </c>
      <c r="AT26" s="98">
        <v>361.833288662557</v>
      </c>
      <c r="AU26" s="98">
        <v>107.20986330742429</v>
      </c>
      <c r="AV26" s="98">
        <v>361.833288662557</v>
      </c>
      <c r="AW26" s="98">
        <v>415.4382203162691</v>
      </c>
      <c r="AX26" s="98">
        <v>911.2838381131064</v>
      </c>
      <c r="AY26" s="98">
        <v>1768.9627445725007</v>
      </c>
      <c r="AZ26" s="98">
        <v>683.4628785848298</v>
      </c>
      <c r="BA26" s="100" t="s">
        <v>550</v>
      </c>
      <c r="BB26" s="100" t="s">
        <v>550</v>
      </c>
      <c r="BC26" s="100" t="s">
        <v>550</v>
      </c>
      <c r="BD26" s="158">
        <v>0.9547767639</v>
      </c>
      <c r="BE26" s="158">
        <v>1.300895538</v>
      </c>
      <c r="BF26" s="162">
        <v>1027</v>
      </c>
      <c r="BG26" s="162">
        <v>858</v>
      </c>
      <c r="BH26" s="162">
        <v>1901</v>
      </c>
      <c r="BI26" s="162">
        <v>900</v>
      </c>
      <c r="BJ26" s="162">
        <v>412</v>
      </c>
      <c r="BK26" s="97"/>
      <c r="BL26" s="97"/>
      <c r="BM26" s="97"/>
      <c r="BN26" s="97"/>
    </row>
    <row r="27" spans="1:66" ht="12.75">
      <c r="A27" s="79" t="s">
        <v>527</v>
      </c>
      <c r="B27" s="79" t="s">
        <v>304</v>
      </c>
      <c r="C27" s="79" t="s">
        <v>196</v>
      </c>
      <c r="D27" s="99">
        <v>6247</v>
      </c>
      <c r="E27" s="99">
        <v>1097</v>
      </c>
      <c r="F27" s="99" t="s">
        <v>344</v>
      </c>
      <c r="G27" s="99">
        <v>35</v>
      </c>
      <c r="H27" s="99">
        <v>25</v>
      </c>
      <c r="I27" s="99">
        <v>86</v>
      </c>
      <c r="J27" s="99">
        <v>589</v>
      </c>
      <c r="K27" s="99">
        <v>574</v>
      </c>
      <c r="L27" s="99">
        <v>1148</v>
      </c>
      <c r="M27" s="99">
        <v>351</v>
      </c>
      <c r="N27" s="99">
        <v>175</v>
      </c>
      <c r="O27" s="99">
        <v>97</v>
      </c>
      <c r="P27" s="159">
        <v>97</v>
      </c>
      <c r="Q27" s="99">
        <v>23</v>
      </c>
      <c r="R27" s="99">
        <v>35</v>
      </c>
      <c r="S27" s="99">
        <v>18</v>
      </c>
      <c r="T27" s="99">
        <v>19</v>
      </c>
      <c r="U27" s="99">
        <v>8</v>
      </c>
      <c r="V27" s="99">
        <v>12</v>
      </c>
      <c r="W27" s="99">
        <v>22</v>
      </c>
      <c r="X27" s="99">
        <v>40</v>
      </c>
      <c r="Y27" s="99">
        <v>74</v>
      </c>
      <c r="Z27" s="99">
        <v>63</v>
      </c>
      <c r="AA27" s="99" t="s">
        <v>550</v>
      </c>
      <c r="AB27" s="99" t="s">
        <v>550</v>
      </c>
      <c r="AC27" s="99" t="s">
        <v>550</v>
      </c>
      <c r="AD27" s="98" t="s">
        <v>321</v>
      </c>
      <c r="AE27" s="100">
        <v>0.17560429005922842</v>
      </c>
      <c r="AF27" s="100">
        <v>0.13</v>
      </c>
      <c r="AG27" s="98">
        <v>560.2689290859613</v>
      </c>
      <c r="AH27" s="98">
        <v>400.192092204258</v>
      </c>
      <c r="AI27" s="100">
        <v>0.013999999999999999</v>
      </c>
      <c r="AJ27" s="100">
        <v>0.811295</v>
      </c>
      <c r="AK27" s="100">
        <v>0.816501</v>
      </c>
      <c r="AL27" s="100">
        <v>0.77047</v>
      </c>
      <c r="AM27" s="100">
        <v>0.567044</v>
      </c>
      <c r="AN27" s="100">
        <v>0.589226</v>
      </c>
      <c r="AO27" s="98">
        <v>1552.7453177525213</v>
      </c>
      <c r="AP27" s="158">
        <v>0.8199071503</v>
      </c>
      <c r="AQ27" s="100">
        <v>0.23711340206185566</v>
      </c>
      <c r="AR27" s="100">
        <v>0.6571428571428571</v>
      </c>
      <c r="AS27" s="98">
        <v>288.13830638706577</v>
      </c>
      <c r="AT27" s="98">
        <v>304.1459900752361</v>
      </c>
      <c r="AU27" s="98">
        <v>128.06146950536257</v>
      </c>
      <c r="AV27" s="98">
        <v>192.09220425804386</v>
      </c>
      <c r="AW27" s="98">
        <v>352.1690411397471</v>
      </c>
      <c r="AX27" s="98">
        <v>640.3073475268129</v>
      </c>
      <c r="AY27" s="98">
        <v>1184.5685929246038</v>
      </c>
      <c r="AZ27" s="98">
        <v>1008.4840723547303</v>
      </c>
      <c r="BA27" s="100" t="s">
        <v>550</v>
      </c>
      <c r="BB27" s="100" t="s">
        <v>550</v>
      </c>
      <c r="BC27" s="100" t="s">
        <v>550</v>
      </c>
      <c r="BD27" s="158">
        <v>0.6648895264</v>
      </c>
      <c r="BE27" s="158">
        <v>1.000217209</v>
      </c>
      <c r="BF27" s="162">
        <v>726</v>
      </c>
      <c r="BG27" s="162">
        <v>703</v>
      </c>
      <c r="BH27" s="162">
        <v>1490</v>
      </c>
      <c r="BI27" s="162">
        <v>619</v>
      </c>
      <c r="BJ27" s="162">
        <v>297</v>
      </c>
      <c r="BK27" s="97"/>
      <c r="BL27" s="97"/>
      <c r="BM27" s="97"/>
      <c r="BN27" s="97"/>
    </row>
    <row r="28" spans="1:66" ht="12.75">
      <c r="A28" s="79" t="s">
        <v>530</v>
      </c>
      <c r="B28" s="79" t="s">
        <v>307</v>
      </c>
      <c r="C28" s="79" t="s">
        <v>196</v>
      </c>
      <c r="D28" s="99">
        <v>6578</v>
      </c>
      <c r="E28" s="99">
        <v>1195</v>
      </c>
      <c r="F28" s="99" t="s">
        <v>343</v>
      </c>
      <c r="G28" s="99">
        <v>37</v>
      </c>
      <c r="H28" s="99">
        <v>10</v>
      </c>
      <c r="I28" s="99">
        <v>116</v>
      </c>
      <c r="J28" s="99">
        <v>537</v>
      </c>
      <c r="K28" s="99">
        <v>10</v>
      </c>
      <c r="L28" s="99">
        <v>1345</v>
      </c>
      <c r="M28" s="99">
        <v>420</v>
      </c>
      <c r="N28" s="99">
        <v>231</v>
      </c>
      <c r="O28" s="99">
        <v>125</v>
      </c>
      <c r="P28" s="159">
        <v>125</v>
      </c>
      <c r="Q28" s="99">
        <v>21</v>
      </c>
      <c r="R28" s="99">
        <v>30</v>
      </c>
      <c r="S28" s="99">
        <v>25</v>
      </c>
      <c r="T28" s="99">
        <v>21</v>
      </c>
      <c r="U28" s="99" t="s">
        <v>550</v>
      </c>
      <c r="V28" s="99">
        <v>22</v>
      </c>
      <c r="W28" s="99">
        <v>27</v>
      </c>
      <c r="X28" s="99">
        <v>45</v>
      </c>
      <c r="Y28" s="99">
        <v>79</v>
      </c>
      <c r="Z28" s="99">
        <v>37</v>
      </c>
      <c r="AA28" s="99" t="s">
        <v>550</v>
      </c>
      <c r="AB28" s="99" t="s">
        <v>550</v>
      </c>
      <c r="AC28" s="99" t="s">
        <v>550</v>
      </c>
      <c r="AD28" s="98" t="s">
        <v>321</v>
      </c>
      <c r="AE28" s="100">
        <v>0.1816661599270295</v>
      </c>
      <c r="AF28" s="100">
        <v>0.1</v>
      </c>
      <c r="AG28" s="98">
        <v>562.480997263606</v>
      </c>
      <c r="AH28" s="98">
        <v>152.02189115232594</v>
      </c>
      <c r="AI28" s="100">
        <v>0.018000000000000002</v>
      </c>
      <c r="AJ28" s="100">
        <v>0.695596</v>
      </c>
      <c r="AK28" s="100">
        <v>0.714286</v>
      </c>
      <c r="AL28" s="100">
        <v>0.806355</v>
      </c>
      <c r="AM28" s="100">
        <v>0.618557</v>
      </c>
      <c r="AN28" s="100">
        <v>0.675439</v>
      </c>
      <c r="AO28" s="98">
        <v>1900.2736394040742</v>
      </c>
      <c r="AP28" s="158">
        <v>0.9524732208000001</v>
      </c>
      <c r="AQ28" s="100">
        <v>0.168</v>
      </c>
      <c r="AR28" s="100">
        <v>0.7</v>
      </c>
      <c r="AS28" s="98">
        <v>380.0547278808148</v>
      </c>
      <c r="AT28" s="98">
        <v>319.2459714198845</v>
      </c>
      <c r="AU28" s="98" t="s">
        <v>550</v>
      </c>
      <c r="AV28" s="98">
        <v>334.44816053511704</v>
      </c>
      <c r="AW28" s="98">
        <v>410.45910611128005</v>
      </c>
      <c r="AX28" s="98">
        <v>684.0985101854667</v>
      </c>
      <c r="AY28" s="98">
        <v>1200.9729401033749</v>
      </c>
      <c r="AZ28" s="98">
        <v>562.480997263606</v>
      </c>
      <c r="BA28" s="100" t="s">
        <v>550</v>
      </c>
      <c r="BB28" s="100" t="s">
        <v>550</v>
      </c>
      <c r="BC28" s="100" t="s">
        <v>550</v>
      </c>
      <c r="BD28" s="158">
        <v>0.7928302764999999</v>
      </c>
      <c r="BE28" s="158">
        <v>1.134828796</v>
      </c>
      <c r="BF28" s="162">
        <v>772</v>
      </c>
      <c r="BG28" s="162">
        <v>14</v>
      </c>
      <c r="BH28" s="162">
        <v>1668</v>
      </c>
      <c r="BI28" s="162">
        <v>679</v>
      </c>
      <c r="BJ28" s="162">
        <v>342</v>
      </c>
      <c r="BK28" s="97"/>
      <c r="BL28" s="97"/>
      <c r="BM28" s="97"/>
      <c r="BN28" s="97"/>
    </row>
    <row r="29" spans="1:66" ht="12.75">
      <c r="A29" s="79" t="s">
        <v>514</v>
      </c>
      <c r="B29" s="79" t="s">
        <v>290</v>
      </c>
      <c r="C29" s="79" t="s">
        <v>196</v>
      </c>
      <c r="D29" s="99">
        <v>5515</v>
      </c>
      <c r="E29" s="99">
        <v>1405</v>
      </c>
      <c r="F29" s="99" t="s">
        <v>345</v>
      </c>
      <c r="G29" s="99">
        <v>41</v>
      </c>
      <c r="H29" s="99">
        <v>23</v>
      </c>
      <c r="I29" s="99">
        <v>105</v>
      </c>
      <c r="J29" s="99">
        <v>746</v>
      </c>
      <c r="K29" s="99">
        <v>298</v>
      </c>
      <c r="L29" s="99">
        <v>1079</v>
      </c>
      <c r="M29" s="99">
        <v>590</v>
      </c>
      <c r="N29" s="99">
        <v>306</v>
      </c>
      <c r="O29" s="99">
        <v>143</v>
      </c>
      <c r="P29" s="159">
        <v>143</v>
      </c>
      <c r="Q29" s="99">
        <v>26</v>
      </c>
      <c r="R29" s="99">
        <v>34</v>
      </c>
      <c r="S29" s="99">
        <v>19</v>
      </c>
      <c r="T29" s="99">
        <v>36</v>
      </c>
      <c r="U29" s="99" t="s">
        <v>550</v>
      </c>
      <c r="V29" s="99">
        <v>27</v>
      </c>
      <c r="W29" s="99">
        <v>30</v>
      </c>
      <c r="X29" s="99">
        <v>55</v>
      </c>
      <c r="Y29" s="99">
        <v>67</v>
      </c>
      <c r="Z29" s="99">
        <v>40</v>
      </c>
      <c r="AA29" s="99" t="s">
        <v>550</v>
      </c>
      <c r="AB29" s="99" t="s">
        <v>550</v>
      </c>
      <c r="AC29" s="99" t="s">
        <v>550</v>
      </c>
      <c r="AD29" s="98" t="s">
        <v>321</v>
      </c>
      <c r="AE29" s="100">
        <v>0.2547597461468722</v>
      </c>
      <c r="AF29" s="100">
        <v>0.05</v>
      </c>
      <c r="AG29" s="98">
        <v>743.4270172257479</v>
      </c>
      <c r="AH29" s="98">
        <v>417.0444242973708</v>
      </c>
      <c r="AI29" s="100">
        <v>0.019</v>
      </c>
      <c r="AJ29" s="100">
        <v>0.774663</v>
      </c>
      <c r="AK29" s="100">
        <v>0.805405</v>
      </c>
      <c r="AL29" s="100">
        <v>0.799852</v>
      </c>
      <c r="AM29" s="100">
        <v>0.613944</v>
      </c>
      <c r="AN29" s="100">
        <v>0.64557</v>
      </c>
      <c r="AO29" s="98">
        <v>2592.9283771532187</v>
      </c>
      <c r="AP29" s="158">
        <v>1.079481812</v>
      </c>
      <c r="AQ29" s="100">
        <v>0.18181818181818182</v>
      </c>
      <c r="AR29" s="100">
        <v>0.7647058823529411</v>
      </c>
      <c r="AS29" s="98">
        <v>344.5149592021759</v>
      </c>
      <c r="AT29" s="98">
        <v>652.7651858567543</v>
      </c>
      <c r="AU29" s="98" t="s">
        <v>550</v>
      </c>
      <c r="AV29" s="98">
        <v>489.5738893925657</v>
      </c>
      <c r="AW29" s="98">
        <v>543.970988213962</v>
      </c>
      <c r="AX29" s="98">
        <v>997.2801450589302</v>
      </c>
      <c r="AY29" s="98">
        <v>1214.868540344515</v>
      </c>
      <c r="AZ29" s="98">
        <v>725.2946509519493</v>
      </c>
      <c r="BA29" s="100" t="s">
        <v>550</v>
      </c>
      <c r="BB29" s="100" t="s">
        <v>550</v>
      </c>
      <c r="BC29" s="100" t="s">
        <v>550</v>
      </c>
      <c r="BD29" s="158">
        <v>0.90980896</v>
      </c>
      <c r="BE29" s="158">
        <v>1.271613998</v>
      </c>
      <c r="BF29" s="162">
        <v>963</v>
      </c>
      <c r="BG29" s="162">
        <v>370</v>
      </c>
      <c r="BH29" s="162">
        <v>1349</v>
      </c>
      <c r="BI29" s="162">
        <v>961</v>
      </c>
      <c r="BJ29" s="162">
        <v>474</v>
      </c>
      <c r="BK29" s="97"/>
      <c r="BL29" s="97"/>
      <c r="BM29" s="97"/>
      <c r="BN29" s="97"/>
    </row>
    <row r="30" spans="1:66" ht="12.75">
      <c r="A30" s="79" t="s">
        <v>513</v>
      </c>
      <c r="B30" s="79" t="s">
        <v>289</v>
      </c>
      <c r="C30" s="79" t="s">
        <v>196</v>
      </c>
      <c r="D30" s="99">
        <v>11766</v>
      </c>
      <c r="E30" s="99">
        <v>2798</v>
      </c>
      <c r="F30" s="99" t="s">
        <v>345</v>
      </c>
      <c r="G30" s="99">
        <v>57</v>
      </c>
      <c r="H30" s="99">
        <v>35</v>
      </c>
      <c r="I30" s="99">
        <v>251</v>
      </c>
      <c r="J30" s="99">
        <v>1560</v>
      </c>
      <c r="K30" s="99">
        <v>1543</v>
      </c>
      <c r="L30" s="99">
        <v>2268</v>
      </c>
      <c r="M30" s="99">
        <v>1181</v>
      </c>
      <c r="N30" s="99">
        <v>597</v>
      </c>
      <c r="O30" s="99">
        <v>212</v>
      </c>
      <c r="P30" s="159">
        <v>212</v>
      </c>
      <c r="Q30" s="99">
        <v>30</v>
      </c>
      <c r="R30" s="99">
        <v>65</v>
      </c>
      <c r="S30" s="99">
        <v>41</v>
      </c>
      <c r="T30" s="99">
        <v>26</v>
      </c>
      <c r="U30" s="99">
        <v>6</v>
      </c>
      <c r="V30" s="99">
        <v>48</v>
      </c>
      <c r="W30" s="99">
        <v>48</v>
      </c>
      <c r="X30" s="99">
        <v>65</v>
      </c>
      <c r="Y30" s="99">
        <v>184</v>
      </c>
      <c r="Z30" s="99">
        <v>73</v>
      </c>
      <c r="AA30" s="99" t="s">
        <v>550</v>
      </c>
      <c r="AB30" s="99" t="s">
        <v>550</v>
      </c>
      <c r="AC30" s="99" t="s">
        <v>550</v>
      </c>
      <c r="AD30" s="98" t="s">
        <v>321</v>
      </c>
      <c r="AE30" s="100">
        <v>0.23780384157742648</v>
      </c>
      <c r="AF30" s="100">
        <v>0.07</v>
      </c>
      <c r="AG30" s="98">
        <v>484.44671086180523</v>
      </c>
      <c r="AH30" s="98">
        <v>297.4672785993541</v>
      </c>
      <c r="AI30" s="100">
        <v>0.021</v>
      </c>
      <c r="AJ30" s="100">
        <v>0.818468</v>
      </c>
      <c r="AK30" s="100">
        <v>0.831806</v>
      </c>
      <c r="AL30" s="100">
        <v>0.796908</v>
      </c>
      <c r="AM30" s="100">
        <v>0.613506</v>
      </c>
      <c r="AN30" s="100">
        <v>0.625131</v>
      </c>
      <c r="AO30" s="98">
        <v>1801.8018018018017</v>
      </c>
      <c r="AP30" s="158">
        <v>0.788037796</v>
      </c>
      <c r="AQ30" s="100">
        <v>0.14150943396226415</v>
      </c>
      <c r="AR30" s="100">
        <v>0.46153846153846156</v>
      </c>
      <c r="AS30" s="98">
        <v>348.4616692163862</v>
      </c>
      <c r="AT30" s="98">
        <v>220.9756926738059</v>
      </c>
      <c r="AU30" s="98">
        <v>50.994390617032124</v>
      </c>
      <c r="AV30" s="98">
        <v>407.955124936257</v>
      </c>
      <c r="AW30" s="98">
        <v>407.955124936257</v>
      </c>
      <c r="AX30" s="98">
        <v>552.4392316845147</v>
      </c>
      <c r="AY30" s="98">
        <v>1563.8279789223186</v>
      </c>
      <c r="AZ30" s="98">
        <v>620.4317525072242</v>
      </c>
      <c r="BA30" s="100" t="s">
        <v>550</v>
      </c>
      <c r="BB30" s="100" t="s">
        <v>550</v>
      </c>
      <c r="BC30" s="100" t="s">
        <v>550</v>
      </c>
      <c r="BD30" s="158">
        <v>0.6855227661000001</v>
      </c>
      <c r="BE30" s="158">
        <v>0.9015590668</v>
      </c>
      <c r="BF30" s="162">
        <v>1906</v>
      </c>
      <c r="BG30" s="162">
        <v>1855</v>
      </c>
      <c r="BH30" s="162">
        <v>2846</v>
      </c>
      <c r="BI30" s="162">
        <v>1925</v>
      </c>
      <c r="BJ30" s="162">
        <v>955</v>
      </c>
      <c r="BK30" s="97"/>
      <c r="BL30" s="97"/>
      <c r="BM30" s="97"/>
      <c r="BN30" s="97"/>
    </row>
    <row r="31" spans="1:66" ht="12.75">
      <c r="A31" s="79" t="s">
        <v>510</v>
      </c>
      <c r="B31" s="79" t="s">
        <v>286</v>
      </c>
      <c r="C31" s="79" t="s">
        <v>196</v>
      </c>
      <c r="D31" s="99">
        <v>5523</v>
      </c>
      <c r="E31" s="99">
        <v>1029</v>
      </c>
      <c r="F31" s="99" t="s">
        <v>345</v>
      </c>
      <c r="G31" s="99">
        <v>36</v>
      </c>
      <c r="H31" s="99">
        <v>9</v>
      </c>
      <c r="I31" s="99">
        <v>87</v>
      </c>
      <c r="J31" s="99">
        <v>574</v>
      </c>
      <c r="K31" s="99">
        <v>566</v>
      </c>
      <c r="L31" s="99">
        <v>1052</v>
      </c>
      <c r="M31" s="99">
        <v>386</v>
      </c>
      <c r="N31" s="99">
        <v>201</v>
      </c>
      <c r="O31" s="99">
        <v>97</v>
      </c>
      <c r="P31" s="159">
        <v>97</v>
      </c>
      <c r="Q31" s="99">
        <v>11</v>
      </c>
      <c r="R31" s="99">
        <v>21</v>
      </c>
      <c r="S31" s="99">
        <v>19</v>
      </c>
      <c r="T31" s="99">
        <v>12</v>
      </c>
      <c r="U31" s="99" t="s">
        <v>550</v>
      </c>
      <c r="V31" s="99">
        <v>21</v>
      </c>
      <c r="W31" s="99">
        <v>28</v>
      </c>
      <c r="X31" s="99">
        <v>21</v>
      </c>
      <c r="Y31" s="99">
        <v>59</v>
      </c>
      <c r="Z31" s="99">
        <v>26</v>
      </c>
      <c r="AA31" s="99" t="s">
        <v>550</v>
      </c>
      <c r="AB31" s="99" t="s">
        <v>550</v>
      </c>
      <c r="AC31" s="99" t="s">
        <v>550</v>
      </c>
      <c r="AD31" s="98" t="s">
        <v>321</v>
      </c>
      <c r="AE31" s="100">
        <v>0.18631178707224336</v>
      </c>
      <c r="AF31" s="100">
        <v>0.08</v>
      </c>
      <c r="AG31" s="98">
        <v>651.8196632265074</v>
      </c>
      <c r="AH31" s="98">
        <v>162.95491580662684</v>
      </c>
      <c r="AI31" s="100">
        <v>0.016</v>
      </c>
      <c r="AJ31" s="100">
        <v>0.789546</v>
      </c>
      <c r="AK31" s="100">
        <v>0.796062</v>
      </c>
      <c r="AL31" s="100">
        <v>0.745571</v>
      </c>
      <c r="AM31" s="100">
        <v>0.547518</v>
      </c>
      <c r="AN31" s="100">
        <v>0.563025</v>
      </c>
      <c r="AO31" s="98">
        <v>1756.2918703603113</v>
      </c>
      <c r="AP31" s="158">
        <v>0.8694445801</v>
      </c>
      <c r="AQ31" s="100">
        <v>0.1134020618556701</v>
      </c>
      <c r="AR31" s="100">
        <v>0.5238095238095238</v>
      </c>
      <c r="AS31" s="98">
        <v>344.01593336954556</v>
      </c>
      <c r="AT31" s="98">
        <v>217.27322107550245</v>
      </c>
      <c r="AU31" s="98" t="s">
        <v>550</v>
      </c>
      <c r="AV31" s="98">
        <v>380.22813688212926</v>
      </c>
      <c r="AW31" s="98">
        <v>506.97084917617235</v>
      </c>
      <c r="AX31" s="98">
        <v>380.22813688212926</v>
      </c>
      <c r="AY31" s="98">
        <v>1068.2600036212204</v>
      </c>
      <c r="AZ31" s="98">
        <v>470.75864566358865</v>
      </c>
      <c r="BA31" s="100" t="s">
        <v>550</v>
      </c>
      <c r="BB31" s="100" t="s">
        <v>550</v>
      </c>
      <c r="BC31" s="100" t="s">
        <v>550</v>
      </c>
      <c r="BD31" s="158">
        <v>0.7050609589</v>
      </c>
      <c r="BE31" s="158">
        <v>1.0606486510000002</v>
      </c>
      <c r="BF31" s="162">
        <v>727</v>
      </c>
      <c r="BG31" s="162">
        <v>711</v>
      </c>
      <c r="BH31" s="162">
        <v>1411</v>
      </c>
      <c r="BI31" s="162">
        <v>705</v>
      </c>
      <c r="BJ31" s="162">
        <v>357</v>
      </c>
      <c r="BK31" s="97"/>
      <c r="BL31" s="97"/>
      <c r="BM31" s="97"/>
      <c r="BN31" s="97"/>
    </row>
    <row r="32" spans="1:66" ht="12.75">
      <c r="A32" s="79" t="s">
        <v>541</v>
      </c>
      <c r="B32" s="79" t="s">
        <v>318</v>
      </c>
      <c r="C32" s="79" t="s">
        <v>196</v>
      </c>
      <c r="D32" s="99">
        <v>3438</v>
      </c>
      <c r="E32" s="99">
        <v>699</v>
      </c>
      <c r="F32" s="99" t="s">
        <v>345</v>
      </c>
      <c r="G32" s="99" t="s">
        <v>550</v>
      </c>
      <c r="H32" s="99">
        <v>10</v>
      </c>
      <c r="I32" s="99">
        <v>69</v>
      </c>
      <c r="J32" s="99">
        <v>384</v>
      </c>
      <c r="K32" s="99">
        <v>385</v>
      </c>
      <c r="L32" s="99">
        <v>694</v>
      </c>
      <c r="M32" s="99">
        <v>265</v>
      </c>
      <c r="N32" s="99">
        <v>130</v>
      </c>
      <c r="O32" s="99">
        <v>97</v>
      </c>
      <c r="P32" s="159">
        <v>97</v>
      </c>
      <c r="Q32" s="99">
        <v>15</v>
      </c>
      <c r="R32" s="99">
        <v>24</v>
      </c>
      <c r="S32" s="99">
        <v>22</v>
      </c>
      <c r="T32" s="99">
        <v>13</v>
      </c>
      <c r="U32" s="99" t="s">
        <v>550</v>
      </c>
      <c r="V32" s="99">
        <v>21</v>
      </c>
      <c r="W32" s="99">
        <v>12</v>
      </c>
      <c r="X32" s="99">
        <v>44</v>
      </c>
      <c r="Y32" s="99">
        <v>32</v>
      </c>
      <c r="Z32" s="99">
        <v>19</v>
      </c>
      <c r="AA32" s="99" t="s">
        <v>550</v>
      </c>
      <c r="AB32" s="99" t="s">
        <v>550</v>
      </c>
      <c r="AC32" s="99" t="s">
        <v>550</v>
      </c>
      <c r="AD32" s="98" t="s">
        <v>321</v>
      </c>
      <c r="AE32" s="100">
        <v>0.20331588132635253</v>
      </c>
      <c r="AF32" s="100">
        <v>0.08</v>
      </c>
      <c r="AG32" s="98" t="s">
        <v>550</v>
      </c>
      <c r="AH32" s="98">
        <v>290.86678301337986</v>
      </c>
      <c r="AI32" s="100">
        <v>0.02</v>
      </c>
      <c r="AJ32" s="100">
        <v>0.793388</v>
      </c>
      <c r="AK32" s="100">
        <v>0.824411</v>
      </c>
      <c r="AL32" s="100">
        <v>0.809802</v>
      </c>
      <c r="AM32" s="100">
        <v>0.586283</v>
      </c>
      <c r="AN32" s="100">
        <v>0.580357</v>
      </c>
      <c r="AO32" s="98">
        <v>2821.407795229785</v>
      </c>
      <c r="AP32" s="158">
        <v>1.3287034610000001</v>
      </c>
      <c r="AQ32" s="100">
        <v>0.15463917525773196</v>
      </c>
      <c r="AR32" s="100">
        <v>0.625</v>
      </c>
      <c r="AS32" s="98">
        <v>639.9069226294357</v>
      </c>
      <c r="AT32" s="98">
        <v>378.12681791739385</v>
      </c>
      <c r="AU32" s="98" t="s">
        <v>550</v>
      </c>
      <c r="AV32" s="98">
        <v>610.8202443280977</v>
      </c>
      <c r="AW32" s="98">
        <v>349.04013961605585</v>
      </c>
      <c r="AX32" s="98">
        <v>1279.8138452588714</v>
      </c>
      <c r="AY32" s="98">
        <v>930.7737056428156</v>
      </c>
      <c r="AZ32" s="98">
        <v>552.6468877254217</v>
      </c>
      <c r="BA32" s="100" t="s">
        <v>550</v>
      </c>
      <c r="BB32" s="100" t="s">
        <v>550</v>
      </c>
      <c r="BC32" s="100" t="s">
        <v>550</v>
      </c>
      <c r="BD32" s="158">
        <v>1.077489014</v>
      </c>
      <c r="BE32" s="158">
        <v>1.6209056090000002</v>
      </c>
      <c r="BF32" s="162">
        <v>484</v>
      </c>
      <c r="BG32" s="162">
        <v>467</v>
      </c>
      <c r="BH32" s="162">
        <v>857</v>
      </c>
      <c r="BI32" s="162">
        <v>452</v>
      </c>
      <c r="BJ32" s="162">
        <v>224</v>
      </c>
      <c r="BK32" s="97"/>
      <c r="BL32" s="97"/>
      <c r="BM32" s="97"/>
      <c r="BN32" s="97"/>
    </row>
    <row r="33" spans="1:66" ht="12.75">
      <c r="A33" s="79" t="s">
        <v>540</v>
      </c>
      <c r="B33" s="79" t="s">
        <v>317</v>
      </c>
      <c r="C33" s="79" t="s">
        <v>196</v>
      </c>
      <c r="D33" s="99">
        <v>2849</v>
      </c>
      <c r="E33" s="99">
        <v>566</v>
      </c>
      <c r="F33" s="99" t="s">
        <v>345</v>
      </c>
      <c r="G33" s="99">
        <v>11</v>
      </c>
      <c r="H33" s="99">
        <v>6</v>
      </c>
      <c r="I33" s="99">
        <v>46</v>
      </c>
      <c r="J33" s="99">
        <v>344</v>
      </c>
      <c r="K33" s="99">
        <v>337</v>
      </c>
      <c r="L33" s="99">
        <v>633</v>
      </c>
      <c r="M33" s="99">
        <v>259</v>
      </c>
      <c r="N33" s="99">
        <v>144</v>
      </c>
      <c r="O33" s="99">
        <v>60</v>
      </c>
      <c r="P33" s="159">
        <v>60</v>
      </c>
      <c r="Q33" s="99">
        <v>8</v>
      </c>
      <c r="R33" s="99">
        <v>17</v>
      </c>
      <c r="S33" s="99">
        <v>15</v>
      </c>
      <c r="T33" s="99">
        <v>6</v>
      </c>
      <c r="U33" s="99" t="s">
        <v>550</v>
      </c>
      <c r="V33" s="99">
        <v>12</v>
      </c>
      <c r="W33" s="99">
        <v>16</v>
      </c>
      <c r="X33" s="99">
        <v>40</v>
      </c>
      <c r="Y33" s="99">
        <v>42</v>
      </c>
      <c r="Z33" s="99">
        <v>14</v>
      </c>
      <c r="AA33" s="99" t="s">
        <v>550</v>
      </c>
      <c r="AB33" s="99" t="s">
        <v>550</v>
      </c>
      <c r="AC33" s="99" t="s">
        <v>550</v>
      </c>
      <c r="AD33" s="98" t="s">
        <v>321</v>
      </c>
      <c r="AE33" s="100">
        <v>0.19866619866619867</v>
      </c>
      <c r="AF33" s="100">
        <v>0.08</v>
      </c>
      <c r="AG33" s="98">
        <v>386.1003861003861</v>
      </c>
      <c r="AH33" s="98">
        <v>210.6002106002106</v>
      </c>
      <c r="AI33" s="100">
        <v>0.016</v>
      </c>
      <c r="AJ33" s="100">
        <v>0.805621</v>
      </c>
      <c r="AK33" s="100">
        <v>0.82801</v>
      </c>
      <c r="AL33" s="100">
        <v>0.906877</v>
      </c>
      <c r="AM33" s="100">
        <v>0.634804</v>
      </c>
      <c r="AN33" s="100">
        <v>0.688995</v>
      </c>
      <c r="AO33" s="98">
        <v>2106.002106002106</v>
      </c>
      <c r="AP33" s="158">
        <v>0.9972134398999999</v>
      </c>
      <c r="AQ33" s="100">
        <v>0.13333333333333333</v>
      </c>
      <c r="AR33" s="100">
        <v>0.47058823529411764</v>
      </c>
      <c r="AS33" s="98">
        <v>526.5005265005265</v>
      </c>
      <c r="AT33" s="98">
        <v>210.6002106002106</v>
      </c>
      <c r="AU33" s="98" t="s">
        <v>550</v>
      </c>
      <c r="AV33" s="98">
        <v>421.2004212004212</v>
      </c>
      <c r="AW33" s="98">
        <v>561.6005616005616</v>
      </c>
      <c r="AX33" s="98">
        <v>1404.001404001404</v>
      </c>
      <c r="AY33" s="98">
        <v>1474.2014742014742</v>
      </c>
      <c r="AZ33" s="98">
        <v>491.4004914004914</v>
      </c>
      <c r="BA33" s="100" t="s">
        <v>550</v>
      </c>
      <c r="BB33" s="100" t="s">
        <v>550</v>
      </c>
      <c r="BC33" s="100" t="s">
        <v>550</v>
      </c>
      <c r="BD33" s="158">
        <v>0.7609789276</v>
      </c>
      <c r="BE33" s="158">
        <v>1.2836112979999998</v>
      </c>
      <c r="BF33" s="162">
        <v>427</v>
      </c>
      <c r="BG33" s="162">
        <v>407</v>
      </c>
      <c r="BH33" s="162">
        <v>698</v>
      </c>
      <c r="BI33" s="162">
        <v>408</v>
      </c>
      <c r="BJ33" s="162">
        <v>209</v>
      </c>
      <c r="BK33" s="97"/>
      <c r="BL33" s="97"/>
      <c r="BM33" s="97"/>
      <c r="BN33" s="97"/>
    </row>
    <row r="34" spans="1:66" ht="12.75">
      <c r="A34" s="79" t="s">
        <v>532</v>
      </c>
      <c r="B34" s="79" t="s">
        <v>309</v>
      </c>
      <c r="C34" s="79" t="s">
        <v>196</v>
      </c>
      <c r="D34" s="99">
        <v>4279</v>
      </c>
      <c r="E34" s="99">
        <v>978</v>
      </c>
      <c r="F34" s="99" t="s">
        <v>345</v>
      </c>
      <c r="G34" s="99">
        <v>29</v>
      </c>
      <c r="H34" s="99">
        <v>12</v>
      </c>
      <c r="I34" s="99">
        <v>117</v>
      </c>
      <c r="J34" s="99">
        <v>581</v>
      </c>
      <c r="K34" s="99">
        <v>559</v>
      </c>
      <c r="L34" s="99">
        <v>870</v>
      </c>
      <c r="M34" s="99">
        <v>469</v>
      </c>
      <c r="N34" s="99">
        <v>238</v>
      </c>
      <c r="O34" s="99">
        <v>87</v>
      </c>
      <c r="P34" s="159">
        <v>87</v>
      </c>
      <c r="Q34" s="99">
        <v>16</v>
      </c>
      <c r="R34" s="99">
        <v>32</v>
      </c>
      <c r="S34" s="99" t="s">
        <v>550</v>
      </c>
      <c r="T34" s="99">
        <v>18</v>
      </c>
      <c r="U34" s="99" t="s">
        <v>550</v>
      </c>
      <c r="V34" s="99">
        <v>28</v>
      </c>
      <c r="W34" s="99">
        <v>31</v>
      </c>
      <c r="X34" s="99">
        <v>14</v>
      </c>
      <c r="Y34" s="99">
        <v>66</v>
      </c>
      <c r="Z34" s="99">
        <v>26</v>
      </c>
      <c r="AA34" s="99" t="s">
        <v>550</v>
      </c>
      <c r="AB34" s="99" t="s">
        <v>550</v>
      </c>
      <c r="AC34" s="99" t="s">
        <v>550</v>
      </c>
      <c r="AD34" s="98" t="s">
        <v>321</v>
      </c>
      <c r="AE34" s="100">
        <v>0.22855807431642908</v>
      </c>
      <c r="AF34" s="100">
        <v>0.06</v>
      </c>
      <c r="AG34" s="98">
        <v>677.7284412245851</v>
      </c>
      <c r="AH34" s="98">
        <v>280.43935498948355</v>
      </c>
      <c r="AI34" s="100">
        <v>0.027000000000000003</v>
      </c>
      <c r="AJ34" s="100">
        <v>0.822946</v>
      </c>
      <c r="AK34" s="100">
        <v>0.819648</v>
      </c>
      <c r="AL34" s="100">
        <v>0.80855</v>
      </c>
      <c r="AM34" s="100">
        <v>0.634641</v>
      </c>
      <c r="AN34" s="100">
        <v>0.674221</v>
      </c>
      <c r="AO34" s="98">
        <v>2033.1853236737556</v>
      </c>
      <c r="AP34" s="158">
        <v>0.8928288269</v>
      </c>
      <c r="AQ34" s="100">
        <v>0.1839080459770115</v>
      </c>
      <c r="AR34" s="100">
        <v>0.5</v>
      </c>
      <c r="AS34" s="98" t="s">
        <v>550</v>
      </c>
      <c r="AT34" s="98">
        <v>420.6590324842253</v>
      </c>
      <c r="AU34" s="98" t="s">
        <v>550</v>
      </c>
      <c r="AV34" s="98">
        <v>654.3584949754616</v>
      </c>
      <c r="AW34" s="98">
        <v>724.4683337228324</v>
      </c>
      <c r="AX34" s="98">
        <v>327.1792474877308</v>
      </c>
      <c r="AY34" s="98">
        <v>1542.4164524421594</v>
      </c>
      <c r="AZ34" s="98">
        <v>607.6186024772143</v>
      </c>
      <c r="BA34" s="100" t="s">
        <v>550</v>
      </c>
      <c r="BB34" s="100" t="s">
        <v>550</v>
      </c>
      <c r="BC34" s="100" t="s">
        <v>550</v>
      </c>
      <c r="BD34" s="158">
        <v>0.7151192474</v>
      </c>
      <c r="BE34" s="158">
        <v>1.101301041</v>
      </c>
      <c r="BF34" s="162">
        <v>706</v>
      </c>
      <c r="BG34" s="162">
        <v>682</v>
      </c>
      <c r="BH34" s="162">
        <v>1076</v>
      </c>
      <c r="BI34" s="162">
        <v>739</v>
      </c>
      <c r="BJ34" s="162">
        <v>353</v>
      </c>
      <c r="BK34" s="97"/>
      <c r="BL34" s="97"/>
      <c r="BM34" s="97"/>
      <c r="BN34" s="97"/>
    </row>
    <row r="35" spans="1:66" ht="12.75">
      <c r="A35" s="79" t="s">
        <v>529</v>
      </c>
      <c r="B35" s="79" t="s">
        <v>306</v>
      </c>
      <c r="C35" s="79" t="s">
        <v>196</v>
      </c>
      <c r="D35" s="99">
        <v>5982</v>
      </c>
      <c r="E35" s="99">
        <v>1135</v>
      </c>
      <c r="F35" s="99" t="s">
        <v>343</v>
      </c>
      <c r="G35" s="99">
        <v>34</v>
      </c>
      <c r="H35" s="99">
        <v>8</v>
      </c>
      <c r="I35" s="99">
        <v>121</v>
      </c>
      <c r="J35" s="99">
        <v>569</v>
      </c>
      <c r="K35" s="99">
        <v>19</v>
      </c>
      <c r="L35" s="99">
        <v>1197</v>
      </c>
      <c r="M35" s="99">
        <v>440</v>
      </c>
      <c r="N35" s="99">
        <v>226</v>
      </c>
      <c r="O35" s="99">
        <v>106</v>
      </c>
      <c r="P35" s="159">
        <v>106</v>
      </c>
      <c r="Q35" s="99">
        <v>9</v>
      </c>
      <c r="R35" s="99">
        <v>30</v>
      </c>
      <c r="S35" s="99">
        <v>37</v>
      </c>
      <c r="T35" s="99">
        <v>17</v>
      </c>
      <c r="U35" s="99" t="s">
        <v>550</v>
      </c>
      <c r="V35" s="99">
        <v>13</v>
      </c>
      <c r="W35" s="99">
        <v>29</v>
      </c>
      <c r="X35" s="99">
        <v>55</v>
      </c>
      <c r="Y35" s="99">
        <v>61</v>
      </c>
      <c r="Z35" s="99">
        <v>26</v>
      </c>
      <c r="AA35" s="99" t="s">
        <v>550</v>
      </c>
      <c r="AB35" s="99" t="s">
        <v>550</v>
      </c>
      <c r="AC35" s="99" t="s">
        <v>550</v>
      </c>
      <c r="AD35" s="98" t="s">
        <v>321</v>
      </c>
      <c r="AE35" s="100">
        <v>0.18973587428953528</v>
      </c>
      <c r="AF35" s="100">
        <v>0.09</v>
      </c>
      <c r="AG35" s="98">
        <v>568.3717820127048</v>
      </c>
      <c r="AH35" s="98">
        <v>133.73453694416582</v>
      </c>
      <c r="AI35" s="100">
        <v>0.02</v>
      </c>
      <c r="AJ35" s="100">
        <v>0.739922</v>
      </c>
      <c r="AK35" s="100">
        <v>0.76</v>
      </c>
      <c r="AL35" s="100">
        <v>0.820988</v>
      </c>
      <c r="AM35" s="100">
        <v>0.677966</v>
      </c>
      <c r="AN35" s="100">
        <v>0.672619</v>
      </c>
      <c r="AO35" s="98">
        <v>1771.9826145101972</v>
      </c>
      <c r="AP35" s="158">
        <v>0.8880905914</v>
      </c>
      <c r="AQ35" s="100">
        <v>0.08490566037735849</v>
      </c>
      <c r="AR35" s="100">
        <v>0.3</v>
      </c>
      <c r="AS35" s="98">
        <v>618.522233366767</v>
      </c>
      <c r="AT35" s="98">
        <v>284.1858910063524</v>
      </c>
      <c r="AU35" s="98" t="s">
        <v>550</v>
      </c>
      <c r="AV35" s="98">
        <v>217.31862253426948</v>
      </c>
      <c r="AW35" s="98">
        <v>484.78769642260113</v>
      </c>
      <c r="AX35" s="98">
        <v>919.4249414911401</v>
      </c>
      <c r="AY35" s="98">
        <v>1019.7258441992644</v>
      </c>
      <c r="AZ35" s="98">
        <v>434.63724506853896</v>
      </c>
      <c r="BA35" s="100" t="s">
        <v>550</v>
      </c>
      <c r="BB35" s="100" t="s">
        <v>550</v>
      </c>
      <c r="BC35" s="100" t="s">
        <v>550</v>
      </c>
      <c r="BD35" s="158">
        <v>0.7270957947</v>
      </c>
      <c r="BE35" s="158">
        <v>1.074120026</v>
      </c>
      <c r="BF35" s="162">
        <v>769</v>
      </c>
      <c r="BG35" s="162">
        <v>25</v>
      </c>
      <c r="BH35" s="162">
        <v>1458</v>
      </c>
      <c r="BI35" s="162">
        <v>649</v>
      </c>
      <c r="BJ35" s="162">
        <v>336</v>
      </c>
      <c r="BK35" s="97"/>
      <c r="BL35" s="97"/>
      <c r="BM35" s="97"/>
      <c r="BN35" s="97"/>
    </row>
    <row r="36" spans="1:66" ht="12.75">
      <c r="A36" s="79" t="s">
        <v>542</v>
      </c>
      <c r="B36" s="79" t="s">
        <v>319</v>
      </c>
      <c r="C36" s="79" t="s">
        <v>196</v>
      </c>
      <c r="D36" s="99">
        <v>3835</v>
      </c>
      <c r="E36" s="99">
        <v>392</v>
      </c>
      <c r="F36" s="99" t="s">
        <v>342</v>
      </c>
      <c r="G36" s="99">
        <v>10</v>
      </c>
      <c r="H36" s="99" t="s">
        <v>550</v>
      </c>
      <c r="I36" s="99">
        <v>34</v>
      </c>
      <c r="J36" s="99">
        <v>245</v>
      </c>
      <c r="K36" s="99" t="s">
        <v>550</v>
      </c>
      <c r="L36" s="99">
        <v>695</v>
      </c>
      <c r="M36" s="99">
        <v>116</v>
      </c>
      <c r="N36" s="99">
        <v>77</v>
      </c>
      <c r="O36" s="99">
        <v>63</v>
      </c>
      <c r="P36" s="159">
        <v>63</v>
      </c>
      <c r="Q36" s="99" t="s">
        <v>550</v>
      </c>
      <c r="R36" s="99">
        <v>14</v>
      </c>
      <c r="S36" s="99">
        <v>17</v>
      </c>
      <c r="T36" s="99">
        <v>13</v>
      </c>
      <c r="U36" s="99" t="s">
        <v>550</v>
      </c>
      <c r="V36" s="99">
        <v>9</v>
      </c>
      <c r="W36" s="99">
        <v>11</v>
      </c>
      <c r="X36" s="99">
        <v>29</v>
      </c>
      <c r="Y36" s="99">
        <v>55</v>
      </c>
      <c r="Z36" s="99">
        <v>17</v>
      </c>
      <c r="AA36" s="99" t="s">
        <v>550</v>
      </c>
      <c r="AB36" s="99" t="s">
        <v>550</v>
      </c>
      <c r="AC36" s="99" t="s">
        <v>550</v>
      </c>
      <c r="AD36" s="98" t="s">
        <v>321</v>
      </c>
      <c r="AE36" s="100">
        <v>0.10221642764015645</v>
      </c>
      <c r="AF36" s="100">
        <v>0.27</v>
      </c>
      <c r="AG36" s="98">
        <v>260.7561929595828</v>
      </c>
      <c r="AH36" s="98" t="s">
        <v>550</v>
      </c>
      <c r="AI36" s="100">
        <v>0.009000000000000001</v>
      </c>
      <c r="AJ36" s="100">
        <v>0.662162</v>
      </c>
      <c r="AK36" s="100" t="s">
        <v>550</v>
      </c>
      <c r="AL36" s="100">
        <v>0.782658</v>
      </c>
      <c r="AM36" s="100">
        <v>0.424908</v>
      </c>
      <c r="AN36" s="100">
        <v>0.506579</v>
      </c>
      <c r="AO36" s="98">
        <v>1642.7640156453715</v>
      </c>
      <c r="AP36" s="158">
        <v>1.096604767</v>
      </c>
      <c r="AQ36" s="100" t="s">
        <v>550</v>
      </c>
      <c r="AR36" s="100" t="s">
        <v>550</v>
      </c>
      <c r="AS36" s="98">
        <v>443.28552803129077</v>
      </c>
      <c r="AT36" s="98">
        <v>338.9830508474576</v>
      </c>
      <c r="AU36" s="98" t="s">
        <v>550</v>
      </c>
      <c r="AV36" s="98">
        <v>234.6805736636245</v>
      </c>
      <c r="AW36" s="98">
        <v>286.8318122555411</v>
      </c>
      <c r="AX36" s="98">
        <v>756.1929595827901</v>
      </c>
      <c r="AY36" s="98">
        <v>1434.1590612777054</v>
      </c>
      <c r="AZ36" s="98">
        <v>443.28552803129077</v>
      </c>
      <c r="BA36" s="100" t="s">
        <v>550</v>
      </c>
      <c r="BB36" s="100" t="s">
        <v>550</v>
      </c>
      <c r="BC36" s="100" t="s">
        <v>550</v>
      </c>
      <c r="BD36" s="158">
        <v>0.8426612091</v>
      </c>
      <c r="BE36" s="158">
        <v>1.403033905</v>
      </c>
      <c r="BF36" s="162">
        <v>370</v>
      </c>
      <c r="BG36" s="162" t="s">
        <v>550</v>
      </c>
      <c r="BH36" s="162">
        <v>888</v>
      </c>
      <c r="BI36" s="162">
        <v>273</v>
      </c>
      <c r="BJ36" s="162">
        <v>152</v>
      </c>
      <c r="BK36" s="97"/>
      <c r="BL36" s="97"/>
      <c r="BM36" s="97"/>
      <c r="BN36" s="97"/>
    </row>
    <row r="37" spans="1:66" ht="12.75">
      <c r="A37" s="79" t="s">
        <v>539</v>
      </c>
      <c r="B37" s="79" t="s">
        <v>316</v>
      </c>
      <c r="C37" s="79" t="s">
        <v>196</v>
      </c>
      <c r="D37" s="99">
        <v>2325</v>
      </c>
      <c r="E37" s="99">
        <v>356</v>
      </c>
      <c r="F37" s="99" t="s">
        <v>342</v>
      </c>
      <c r="G37" s="99">
        <v>17</v>
      </c>
      <c r="H37" s="99">
        <v>9</v>
      </c>
      <c r="I37" s="99">
        <v>39</v>
      </c>
      <c r="J37" s="99">
        <v>178</v>
      </c>
      <c r="K37" s="99">
        <v>176</v>
      </c>
      <c r="L37" s="99">
        <v>390</v>
      </c>
      <c r="M37" s="99">
        <v>79</v>
      </c>
      <c r="N37" s="99">
        <v>29</v>
      </c>
      <c r="O37" s="99">
        <v>54</v>
      </c>
      <c r="P37" s="159">
        <v>54</v>
      </c>
      <c r="Q37" s="99">
        <v>8</v>
      </c>
      <c r="R37" s="99">
        <v>15</v>
      </c>
      <c r="S37" s="99" t="s">
        <v>550</v>
      </c>
      <c r="T37" s="99" t="s">
        <v>550</v>
      </c>
      <c r="U37" s="99" t="s">
        <v>550</v>
      </c>
      <c r="V37" s="99">
        <v>13</v>
      </c>
      <c r="W37" s="99">
        <v>6</v>
      </c>
      <c r="X37" s="99">
        <v>14</v>
      </c>
      <c r="Y37" s="99">
        <v>28</v>
      </c>
      <c r="Z37" s="99">
        <v>20</v>
      </c>
      <c r="AA37" s="99" t="s">
        <v>550</v>
      </c>
      <c r="AB37" s="99" t="s">
        <v>550</v>
      </c>
      <c r="AC37" s="99" t="s">
        <v>550</v>
      </c>
      <c r="AD37" s="98" t="s">
        <v>321</v>
      </c>
      <c r="AE37" s="100">
        <v>0.15311827956989246</v>
      </c>
      <c r="AF37" s="100">
        <v>0.24</v>
      </c>
      <c r="AG37" s="98">
        <v>731.1827956989247</v>
      </c>
      <c r="AH37" s="98">
        <v>387.0967741935484</v>
      </c>
      <c r="AI37" s="100">
        <v>0.017</v>
      </c>
      <c r="AJ37" s="100">
        <v>0.723577</v>
      </c>
      <c r="AK37" s="100">
        <v>0.73029</v>
      </c>
      <c r="AL37" s="100">
        <v>0.702703</v>
      </c>
      <c r="AM37" s="100">
        <v>0.379808</v>
      </c>
      <c r="AN37" s="100">
        <v>0.333333</v>
      </c>
      <c r="AO37" s="98">
        <v>2322.5806451612902</v>
      </c>
      <c r="AP37" s="158">
        <v>1.357211761</v>
      </c>
      <c r="AQ37" s="100">
        <v>0.14814814814814814</v>
      </c>
      <c r="AR37" s="100">
        <v>0.5333333333333333</v>
      </c>
      <c r="AS37" s="98" t="s">
        <v>550</v>
      </c>
      <c r="AT37" s="98" t="s">
        <v>550</v>
      </c>
      <c r="AU37" s="98" t="s">
        <v>550</v>
      </c>
      <c r="AV37" s="98">
        <v>559.1397849462365</v>
      </c>
      <c r="AW37" s="98">
        <v>258.06451612903226</v>
      </c>
      <c r="AX37" s="98">
        <v>602.1505376344086</v>
      </c>
      <c r="AY37" s="98">
        <v>1204.3010752688172</v>
      </c>
      <c r="AZ37" s="98">
        <v>860.2150537634409</v>
      </c>
      <c r="BA37" s="100" t="s">
        <v>550</v>
      </c>
      <c r="BB37" s="100" t="s">
        <v>550</v>
      </c>
      <c r="BC37" s="100" t="s">
        <v>550</v>
      </c>
      <c r="BD37" s="158">
        <v>1.019579315</v>
      </c>
      <c r="BE37" s="158">
        <v>1.770867004</v>
      </c>
      <c r="BF37" s="162">
        <v>246</v>
      </c>
      <c r="BG37" s="162">
        <v>241</v>
      </c>
      <c r="BH37" s="162">
        <v>555</v>
      </c>
      <c r="BI37" s="162">
        <v>208</v>
      </c>
      <c r="BJ37" s="162">
        <v>87</v>
      </c>
      <c r="BK37" s="97"/>
      <c r="BL37" s="97"/>
      <c r="BM37" s="97"/>
      <c r="BN37" s="97"/>
    </row>
    <row r="38" spans="1:66" ht="12.75">
      <c r="A38" s="79" t="s">
        <v>524</v>
      </c>
      <c r="B38" s="79" t="s">
        <v>301</v>
      </c>
      <c r="C38" s="79" t="s">
        <v>196</v>
      </c>
      <c r="D38" s="99">
        <v>4481</v>
      </c>
      <c r="E38" s="99">
        <v>736</v>
      </c>
      <c r="F38" s="99" t="s">
        <v>344</v>
      </c>
      <c r="G38" s="99">
        <v>25</v>
      </c>
      <c r="H38" s="99">
        <v>12</v>
      </c>
      <c r="I38" s="99">
        <v>96</v>
      </c>
      <c r="J38" s="99">
        <v>406</v>
      </c>
      <c r="K38" s="99" t="s">
        <v>550</v>
      </c>
      <c r="L38" s="99">
        <v>883</v>
      </c>
      <c r="M38" s="99">
        <v>233</v>
      </c>
      <c r="N38" s="99">
        <v>138</v>
      </c>
      <c r="O38" s="99">
        <v>141</v>
      </c>
      <c r="P38" s="159">
        <v>141</v>
      </c>
      <c r="Q38" s="99">
        <v>16</v>
      </c>
      <c r="R38" s="99">
        <v>22</v>
      </c>
      <c r="S38" s="99">
        <v>35</v>
      </c>
      <c r="T38" s="99">
        <v>13</v>
      </c>
      <c r="U38" s="99">
        <v>7</v>
      </c>
      <c r="V38" s="99">
        <v>23</v>
      </c>
      <c r="W38" s="99">
        <v>16</v>
      </c>
      <c r="X38" s="99">
        <v>39</v>
      </c>
      <c r="Y38" s="99">
        <v>67</v>
      </c>
      <c r="Z38" s="99">
        <v>16</v>
      </c>
      <c r="AA38" s="99" t="s">
        <v>550</v>
      </c>
      <c r="AB38" s="99" t="s">
        <v>550</v>
      </c>
      <c r="AC38" s="99" t="s">
        <v>550</v>
      </c>
      <c r="AD38" s="98" t="s">
        <v>321</v>
      </c>
      <c r="AE38" s="100">
        <v>0.1642490515509931</v>
      </c>
      <c r="AF38" s="100">
        <v>0.15</v>
      </c>
      <c r="AG38" s="98">
        <v>557.911180540058</v>
      </c>
      <c r="AH38" s="98">
        <v>267.79736665922786</v>
      </c>
      <c r="AI38" s="100">
        <v>0.021</v>
      </c>
      <c r="AJ38" s="100">
        <v>0.739526</v>
      </c>
      <c r="AK38" s="100" t="s">
        <v>550</v>
      </c>
      <c r="AL38" s="100">
        <v>0.809349</v>
      </c>
      <c r="AM38" s="100">
        <v>0.524775</v>
      </c>
      <c r="AN38" s="100">
        <v>0.582278</v>
      </c>
      <c r="AO38" s="98">
        <v>3146.619058245927</v>
      </c>
      <c r="AP38" s="158">
        <v>1.686892242</v>
      </c>
      <c r="AQ38" s="100">
        <v>0.11347517730496454</v>
      </c>
      <c r="AR38" s="100">
        <v>0.7272727272727273</v>
      </c>
      <c r="AS38" s="98">
        <v>781.0756527560812</v>
      </c>
      <c r="AT38" s="98">
        <v>290.11381388083015</v>
      </c>
      <c r="AU38" s="98">
        <v>156.21513055121625</v>
      </c>
      <c r="AV38" s="98">
        <v>513.2782860968534</v>
      </c>
      <c r="AW38" s="98">
        <v>357.06315554563713</v>
      </c>
      <c r="AX38" s="98">
        <v>870.3414416424905</v>
      </c>
      <c r="AY38" s="98">
        <v>1495.2019638473555</v>
      </c>
      <c r="AZ38" s="98">
        <v>357.06315554563713</v>
      </c>
      <c r="BA38" s="100" t="s">
        <v>550</v>
      </c>
      <c r="BB38" s="100" t="s">
        <v>550</v>
      </c>
      <c r="BC38" s="100" t="s">
        <v>550</v>
      </c>
      <c r="BD38" s="158">
        <v>1.419954681</v>
      </c>
      <c r="BE38" s="158">
        <v>1.9894313049999999</v>
      </c>
      <c r="BF38" s="162">
        <v>549</v>
      </c>
      <c r="BG38" s="162" t="s">
        <v>550</v>
      </c>
      <c r="BH38" s="162">
        <v>1091</v>
      </c>
      <c r="BI38" s="162">
        <v>444</v>
      </c>
      <c r="BJ38" s="162">
        <v>237</v>
      </c>
      <c r="BK38" s="97"/>
      <c r="BL38" s="97"/>
      <c r="BM38" s="97"/>
      <c r="BN38" s="97"/>
    </row>
    <row r="39" spans="1:66" ht="12.75">
      <c r="A39" s="79" t="s">
        <v>512</v>
      </c>
      <c r="B39" s="79" t="s">
        <v>288</v>
      </c>
      <c r="C39" s="79" t="s">
        <v>196</v>
      </c>
      <c r="D39" s="99">
        <v>5181</v>
      </c>
      <c r="E39" s="99">
        <v>795</v>
      </c>
      <c r="F39" s="99" t="s">
        <v>344</v>
      </c>
      <c r="G39" s="99">
        <v>29</v>
      </c>
      <c r="H39" s="99">
        <v>9</v>
      </c>
      <c r="I39" s="99">
        <v>94</v>
      </c>
      <c r="J39" s="99">
        <v>509</v>
      </c>
      <c r="K39" s="99" t="s">
        <v>550</v>
      </c>
      <c r="L39" s="99">
        <v>973</v>
      </c>
      <c r="M39" s="99">
        <v>316</v>
      </c>
      <c r="N39" s="99">
        <v>171</v>
      </c>
      <c r="O39" s="99">
        <v>141</v>
      </c>
      <c r="P39" s="159">
        <v>141</v>
      </c>
      <c r="Q39" s="99">
        <v>9</v>
      </c>
      <c r="R39" s="99">
        <v>20</v>
      </c>
      <c r="S39" s="99">
        <v>25</v>
      </c>
      <c r="T39" s="99">
        <v>19</v>
      </c>
      <c r="U39" s="99">
        <v>7</v>
      </c>
      <c r="V39" s="99">
        <v>17</v>
      </c>
      <c r="W39" s="99">
        <v>22</v>
      </c>
      <c r="X39" s="99">
        <v>57</v>
      </c>
      <c r="Y39" s="99">
        <v>78</v>
      </c>
      <c r="Z39" s="99">
        <v>19</v>
      </c>
      <c r="AA39" s="99" t="s">
        <v>550</v>
      </c>
      <c r="AB39" s="99" t="s">
        <v>550</v>
      </c>
      <c r="AC39" s="99" t="s">
        <v>550</v>
      </c>
      <c r="AD39" s="98" t="s">
        <v>321</v>
      </c>
      <c r="AE39" s="100">
        <v>0.15344528083381587</v>
      </c>
      <c r="AF39" s="100">
        <v>0.15</v>
      </c>
      <c r="AG39" s="98">
        <v>559.7375024126617</v>
      </c>
      <c r="AH39" s="98">
        <v>173.71163867979155</v>
      </c>
      <c r="AI39" s="100">
        <v>0.018000000000000002</v>
      </c>
      <c r="AJ39" s="100">
        <v>0.764264</v>
      </c>
      <c r="AK39" s="100" t="s">
        <v>550</v>
      </c>
      <c r="AL39" s="100">
        <v>0.780273</v>
      </c>
      <c r="AM39" s="100">
        <v>0.535593</v>
      </c>
      <c r="AN39" s="100">
        <v>0.591696</v>
      </c>
      <c r="AO39" s="98">
        <v>2721.4823393167344</v>
      </c>
      <c r="AP39" s="158">
        <v>1.461391144</v>
      </c>
      <c r="AQ39" s="100">
        <v>0.06382978723404255</v>
      </c>
      <c r="AR39" s="100">
        <v>0.45</v>
      </c>
      <c r="AS39" s="98">
        <v>482.5323296660876</v>
      </c>
      <c r="AT39" s="98">
        <v>366.7245705462266</v>
      </c>
      <c r="AU39" s="98">
        <v>135.10905230650454</v>
      </c>
      <c r="AV39" s="98">
        <v>328.12198417293956</v>
      </c>
      <c r="AW39" s="98">
        <v>424.6284501061571</v>
      </c>
      <c r="AX39" s="98">
        <v>1100.1737116386798</v>
      </c>
      <c r="AY39" s="98">
        <v>1505.5008685581934</v>
      </c>
      <c r="AZ39" s="98">
        <v>366.7245705462266</v>
      </c>
      <c r="BA39" s="100" t="s">
        <v>550</v>
      </c>
      <c r="BB39" s="100" t="s">
        <v>550</v>
      </c>
      <c r="BC39" s="100" t="s">
        <v>550</v>
      </c>
      <c r="BD39" s="158">
        <v>1.230137405</v>
      </c>
      <c r="BE39" s="158">
        <v>1.7234872440000002</v>
      </c>
      <c r="BF39" s="162">
        <v>666</v>
      </c>
      <c r="BG39" s="162" t="s">
        <v>550</v>
      </c>
      <c r="BH39" s="162">
        <v>1247</v>
      </c>
      <c r="BI39" s="162">
        <v>590</v>
      </c>
      <c r="BJ39" s="162">
        <v>289</v>
      </c>
      <c r="BK39" s="97"/>
      <c r="BL39" s="97"/>
      <c r="BM39" s="97"/>
      <c r="BN39" s="97"/>
    </row>
    <row r="40" spans="1:66" ht="12.75">
      <c r="A40" s="79" t="s">
        <v>526</v>
      </c>
      <c r="B40" s="79" t="s">
        <v>303</v>
      </c>
      <c r="C40" s="79" t="s">
        <v>196</v>
      </c>
      <c r="D40" s="99">
        <v>6273</v>
      </c>
      <c r="E40" s="99">
        <v>1099</v>
      </c>
      <c r="F40" s="99" t="s">
        <v>344</v>
      </c>
      <c r="G40" s="99">
        <v>37</v>
      </c>
      <c r="H40" s="99">
        <v>19</v>
      </c>
      <c r="I40" s="99">
        <v>119</v>
      </c>
      <c r="J40" s="99">
        <v>655</v>
      </c>
      <c r="K40" s="99" t="s">
        <v>550</v>
      </c>
      <c r="L40" s="99">
        <v>1216</v>
      </c>
      <c r="M40" s="99">
        <v>428</v>
      </c>
      <c r="N40" s="99">
        <v>228</v>
      </c>
      <c r="O40" s="99">
        <v>107</v>
      </c>
      <c r="P40" s="159">
        <v>107</v>
      </c>
      <c r="Q40" s="99">
        <v>19</v>
      </c>
      <c r="R40" s="99">
        <v>39</v>
      </c>
      <c r="S40" s="99">
        <v>25</v>
      </c>
      <c r="T40" s="99">
        <v>18</v>
      </c>
      <c r="U40" s="99">
        <v>7</v>
      </c>
      <c r="V40" s="99">
        <v>18</v>
      </c>
      <c r="W40" s="99">
        <v>27</v>
      </c>
      <c r="X40" s="99">
        <v>50</v>
      </c>
      <c r="Y40" s="99">
        <v>109</v>
      </c>
      <c r="Z40" s="99">
        <v>55</v>
      </c>
      <c r="AA40" s="99" t="s">
        <v>550</v>
      </c>
      <c r="AB40" s="99" t="s">
        <v>550</v>
      </c>
      <c r="AC40" s="99" t="s">
        <v>550</v>
      </c>
      <c r="AD40" s="98" t="s">
        <v>321</v>
      </c>
      <c r="AE40" s="100">
        <v>0.17519528136457835</v>
      </c>
      <c r="AF40" s="100">
        <v>0.14</v>
      </c>
      <c r="AG40" s="98">
        <v>589.8294277060418</v>
      </c>
      <c r="AH40" s="98">
        <v>302.88538179499443</v>
      </c>
      <c r="AI40" s="100">
        <v>0.019</v>
      </c>
      <c r="AJ40" s="100">
        <v>0.727778</v>
      </c>
      <c r="AK40" s="100" t="s">
        <v>550</v>
      </c>
      <c r="AL40" s="100">
        <v>0.766226</v>
      </c>
      <c r="AM40" s="100">
        <v>0.546616</v>
      </c>
      <c r="AN40" s="100">
        <v>0.58312</v>
      </c>
      <c r="AO40" s="98">
        <v>1705.722939582337</v>
      </c>
      <c r="AP40" s="158">
        <v>0.8701370239</v>
      </c>
      <c r="AQ40" s="100">
        <v>0.17757009345794392</v>
      </c>
      <c r="AR40" s="100">
        <v>0.48717948717948717</v>
      </c>
      <c r="AS40" s="98">
        <v>398.53339709867686</v>
      </c>
      <c r="AT40" s="98">
        <v>286.94404591104734</v>
      </c>
      <c r="AU40" s="98">
        <v>111.58935118762952</v>
      </c>
      <c r="AV40" s="98">
        <v>286.94404591104734</v>
      </c>
      <c r="AW40" s="98">
        <v>430.41606886657104</v>
      </c>
      <c r="AX40" s="98">
        <v>797.0667941973537</v>
      </c>
      <c r="AY40" s="98">
        <v>1737.6056113502311</v>
      </c>
      <c r="AZ40" s="98">
        <v>876.7734736170892</v>
      </c>
      <c r="BA40" s="100" t="s">
        <v>550</v>
      </c>
      <c r="BB40" s="100" t="s">
        <v>550</v>
      </c>
      <c r="BC40" s="100" t="s">
        <v>550</v>
      </c>
      <c r="BD40" s="158">
        <v>0.7130982971000001</v>
      </c>
      <c r="BE40" s="158">
        <v>1.0514714809999999</v>
      </c>
      <c r="BF40" s="162">
        <v>900</v>
      </c>
      <c r="BG40" s="162" t="s">
        <v>550</v>
      </c>
      <c r="BH40" s="162">
        <v>1587</v>
      </c>
      <c r="BI40" s="162">
        <v>783</v>
      </c>
      <c r="BJ40" s="162">
        <v>391</v>
      </c>
      <c r="BK40" s="97"/>
      <c r="BL40" s="97"/>
      <c r="BM40" s="97"/>
      <c r="BN40" s="97"/>
    </row>
    <row r="41" spans="1:66" ht="12.75">
      <c r="A41" s="79" t="s">
        <v>520</v>
      </c>
      <c r="B41" s="79" t="s">
        <v>296</v>
      </c>
      <c r="C41" s="79" t="s">
        <v>196</v>
      </c>
      <c r="D41" s="99">
        <v>11834</v>
      </c>
      <c r="E41" s="99">
        <v>1715</v>
      </c>
      <c r="F41" s="99" t="s">
        <v>341</v>
      </c>
      <c r="G41" s="99">
        <v>57</v>
      </c>
      <c r="H41" s="99">
        <v>33</v>
      </c>
      <c r="I41" s="99">
        <v>169</v>
      </c>
      <c r="J41" s="99">
        <v>936</v>
      </c>
      <c r="K41" s="99">
        <v>918</v>
      </c>
      <c r="L41" s="99">
        <v>2087</v>
      </c>
      <c r="M41" s="99">
        <v>496</v>
      </c>
      <c r="N41" s="99">
        <v>279</v>
      </c>
      <c r="O41" s="99">
        <v>183</v>
      </c>
      <c r="P41" s="159">
        <v>183</v>
      </c>
      <c r="Q41" s="99">
        <v>27</v>
      </c>
      <c r="R41" s="99">
        <v>66</v>
      </c>
      <c r="S41" s="99">
        <v>33</v>
      </c>
      <c r="T41" s="99">
        <v>21</v>
      </c>
      <c r="U41" s="99">
        <v>16</v>
      </c>
      <c r="V41" s="99">
        <v>33</v>
      </c>
      <c r="W41" s="99">
        <v>49</v>
      </c>
      <c r="X41" s="99">
        <v>67</v>
      </c>
      <c r="Y41" s="99">
        <v>157</v>
      </c>
      <c r="Z41" s="99">
        <v>78</v>
      </c>
      <c r="AA41" s="99" t="s">
        <v>550</v>
      </c>
      <c r="AB41" s="99" t="s">
        <v>550</v>
      </c>
      <c r="AC41" s="99" t="s">
        <v>550</v>
      </c>
      <c r="AD41" s="98" t="s">
        <v>321</v>
      </c>
      <c r="AE41" s="100">
        <v>0.14492141287814772</v>
      </c>
      <c r="AF41" s="100">
        <v>0.2</v>
      </c>
      <c r="AG41" s="98">
        <v>481.66300490113235</v>
      </c>
      <c r="AH41" s="98">
        <v>278.85752915328715</v>
      </c>
      <c r="AI41" s="100">
        <v>0.013999999999999999</v>
      </c>
      <c r="AJ41" s="100">
        <v>0.742268</v>
      </c>
      <c r="AK41" s="100">
        <v>0.746341</v>
      </c>
      <c r="AL41" s="100">
        <v>0.729976</v>
      </c>
      <c r="AM41" s="100">
        <v>0.496496</v>
      </c>
      <c r="AN41" s="100">
        <v>0.523452</v>
      </c>
      <c r="AO41" s="98">
        <v>1546.3917525773195</v>
      </c>
      <c r="AP41" s="158">
        <v>0.9027902222</v>
      </c>
      <c r="AQ41" s="100">
        <v>0.14754098360655737</v>
      </c>
      <c r="AR41" s="100">
        <v>0.4090909090909091</v>
      </c>
      <c r="AS41" s="98">
        <v>278.85752915328715</v>
      </c>
      <c r="AT41" s="98">
        <v>177.45479127936454</v>
      </c>
      <c r="AU41" s="98">
        <v>135.20365049856346</v>
      </c>
      <c r="AV41" s="98">
        <v>278.85752915328715</v>
      </c>
      <c r="AW41" s="98">
        <v>414.0611796518506</v>
      </c>
      <c r="AX41" s="98">
        <v>566.1652864627345</v>
      </c>
      <c r="AY41" s="98">
        <v>1326.685820517154</v>
      </c>
      <c r="AZ41" s="98">
        <v>659.1177961804968</v>
      </c>
      <c r="BA41" s="100" t="s">
        <v>550</v>
      </c>
      <c r="BB41" s="100" t="s">
        <v>550</v>
      </c>
      <c r="BC41" s="100" t="s">
        <v>550</v>
      </c>
      <c r="BD41" s="158">
        <v>0.7767230988</v>
      </c>
      <c r="BE41" s="158">
        <v>1.043489151</v>
      </c>
      <c r="BF41" s="162">
        <v>1261</v>
      </c>
      <c r="BG41" s="162">
        <v>1230</v>
      </c>
      <c r="BH41" s="162">
        <v>2859</v>
      </c>
      <c r="BI41" s="162">
        <v>999</v>
      </c>
      <c r="BJ41" s="162">
        <v>533</v>
      </c>
      <c r="BK41" s="97"/>
      <c r="BL41" s="97"/>
      <c r="BM41" s="97"/>
      <c r="BN41" s="97"/>
    </row>
    <row r="42" spans="1:66" ht="12.75">
      <c r="A42" s="79" t="s">
        <v>197</v>
      </c>
      <c r="B42" s="94" t="s">
        <v>196</v>
      </c>
      <c r="C42" s="94" t="s">
        <v>7</v>
      </c>
      <c r="D42" s="99">
        <v>259945</v>
      </c>
      <c r="E42" s="99">
        <v>48108</v>
      </c>
      <c r="F42" s="99">
        <v>30512.910000000003</v>
      </c>
      <c r="G42" s="99">
        <v>1336</v>
      </c>
      <c r="H42" s="99">
        <v>685</v>
      </c>
      <c r="I42" s="99">
        <v>4731</v>
      </c>
      <c r="J42" s="99">
        <v>25078</v>
      </c>
      <c r="K42" s="99">
        <v>12914</v>
      </c>
      <c r="L42" s="99">
        <v>48299</v>
      </c>
      <c r="M42" s="99">
        <v>17564</v>
      </c>
      <c r="N42" s="99">
        <v>9190</v>
      </c>
      <c r="O42" s="99">
        <v>5403</v>
      </c>
      <c r="P42" s="99">
        <v>5403</v>
      </c>
      <c r="Q42" s="99">
        <v>669</v>
      </c>
      <c r="R42" s="99">
        <v>1304</v>
      </c>
      <c r="S42" s="99">
        <v>1085</v>
      </c>
      <c r="T42" s="99">
        <v>812</v>
      </c>
      <c r="U42" s="99">
        <v>253</v>
      </c>
      <c r="V42" s="99">
        <v>995</v>
      </c>
      <c r="W42" s="99">
        <v>1155</v>
      </c>
      <c r="X42" s="99">
        <v>1835</v>
      </c>
      <c r="Y42" s="99">
        <v>3435</v>
      </c>
      <c r="Z42" s="99">
        <v>1678</v>
      </c>
      <c r="AA42" s="99">
        <v>0</v>
      </c>
      <c r="AB42" s="99">
        <v>0</v>
      </c>
      <c r="AC42" s="99">
        <v>0</v>
      </c>
      <c r="AD42" s="98">
        <v>0</v>
      </c>
      <c r="AE42" s="101">
        <v>0.18506991863663466</v>
      </c>
      <c r="AF42" s="101">
        <v>0.11738217699898057</v>
      </c>
      <c r="AG42" s="98">
        <v>513.9548750697263</v>
      </c>
      <c r="AH42" s="98">
        <v>263.51728250206776</v>
      </c>
      <c r="AI42" s="101">
        <v>0.018200003846967627</v>
      </c>
      <c r="AJ42" s="101">
        <v>0.7622955802784364</v>
      </c>
      <c r="AK42" s="101">
        <v>0.805815549731686</v>
      </c>
      <c r="AL42" s="101">
        <v>0.7796071215276097</v>
      </c>
      <c r="AM42" s="101">
        <v>0.5785243741765481</v>
      </c>
      <c r="AN42" s="101">
        <v>0.6052025024695423</v>
      </c>
      <c r="AO42" s="98">
        <v>2078.516609282733</v>
      </c>
      <c r="AP42" s="98">
        <v>0</v>
      </c>
      <c r="AQ42" s="101">
        <v>0.12382009994447529</v>
      </c>
      <c r="AR42" s="101">
        <v>0.5130368098159509</v>
      </c>
      <c r="AS42" s="98">
        <v>417.39598761276426</v>
      </c>
      <c r="AT42" s="98">
        <v>312.3737713747139</v>
      </c>
      <c r="AU42" s="98">
        <v>97.32828098251554</v>
      </c>
      <c r="AV42" s="98">
        <v>382.77327896285755</v>
      </c>
      <c r="AW42" s="98">
        <v>444.32476100713615</v>
      </c>
      <c r="AX42" s="98">
        <v>705.9185596953201</v>
      </c>
      <c r="AY42" s="98">
        <v>1321.433380138106</v>
      </c>
      <c r="AZ42" s="98">
        <v>645.5211679393718</v>
      </c>
      <c r="BA42" s="101">
        <v>0</v>
      </c>
      <c r="BB42" s="101">
        <v>0</v>
      </c>
      <c r="BC42" s="101">
        <v>0</v>
      </c>
      <c r="BD42" s="98">
        <v>0</v>
      </c>
      <c r="BE42" s="98">
        <v>0</v>
      </c>
      <c r="BF42" s="99">
        <v>32898</v>
      </c>
      <c r="BG42" s="99">
        <v>16026</v>
      </c>
      <c r="BH42" s="99">
        <v>61953</v>
      </c>
      <c r="BI42" s="99">
        <v>30360</v>
      </c>
      <c r="BJ42" s="99">
        <v>15185</v>
      </c>
      <c r="BK42" s="97"/>
      <c r="BL42" s="97"/>
      <c r="BM42" s="97"/>
      <c r="BN42" s="97"/>
    </row>
    <row r="43" spans="1:66" ht="12.75">
      <c r="A43" s="79" t="s">
        <v>24</v>
      </c>
      <c r="B43" s="94" t="s">
        <v>7</v>
      </c>
      <c r="C43" s="94" t="s">
        <v>7</v>
      </c>
      <c r="D43" s="99">
        <v>54615830</v>
      </c>
      <c r="E43" s="99">
        <v>8737890</v>
      </c>
      <c r="F43" s="99">
        <v>8198344.169999988</v>
      </c>
      <c r="G43" s="99">
        <v>243379</v>
      </c>
      <c r="H43" s="99">
        <v>127868</v>
      </c>
      <c r="I43" s="99">
        <v>870616</v>
      </c>
      <c r="J43" s="99">
        <v>4592627</v>
      </c>
      <c r="K43" s="99">
        <v>1679592</v>
      </c>
      <c r="L43" s="99">
        <v>10150944</v>
      </c>
      <c r="M43" s="99">
        <v>2959539</v>
      </c>
      <c r="N43" s="99">
        <v>1629320</v>
      </c>
      <c r="O43" s="99">
        <v>989730</v>
      </c>
      <c r="P43" s="99">
        <v>989730</v>
      </c>
      <c r="Q43" s="99">
        <v>108072</v>
      </c>
      <c r="R43" s="99">
        <v>238330</v>
      </c>
      <c r="S43" s="99">
        <v>206300</v>
      </c>
      <c r="T43" s="99">
        <v>154264</v>
      </c>
      <c r="U43" s="99">
        <v>38486</v>
      </c>
      <c r="V43" s="99">
        <v>176535</v>
      </c>
      <c r="W43" s="99">
        <v>307276</v>
      </c>
      <c r="X43" s="99">
        <v>221506</v>
      </c>
      <c r="Y43" s="99">
        <v>578574</v>
      </c>
      <c r="Z43" s="99">
        <v>318377</v>
      </c>
      <c r="AA43" s="99">
        <v>0</v>
      </c>
      <c r="AB43" s="99">
        <v>0</v>
      </c>
      <c r="AC43" s="99">
        <v>0</v>
      </c>
      <c r="AD43" s="98">
        <v>0</v>
      </c>
      <c r="AE43" s="101">
        <v>0.1599882305185145</v>
      </c>
      <c r="AF43" s="101">
        <v>0.15010930292554353</v>
      </c>
      <c r="AG43" s="98">
        <v>445.6198871279627</v>
      </c>
      <c r="AH43" s="98">
        <v>234.12259778895606</v>
      </c>
      <c r="AI43" s="101">
        <v>0.015940726342527432</v>
      </c>
      <c r="AJ43" s="101">
        <v>0.7248631360507991</v>
      </c>
      <c r="AK43" s="101">
        <v>0.7467412166569077</v>
      </c>
      <c r="AL43" s="101">
        <v>0.7559681673907895</v>
      </c>
      <c r="AM43" s="101">
        <v>0.5147293797466616</v>
      </c>
      <c r="AN43" s="101">
        <v>0.5752927626212945</v>
      </c>
      <c r="AO43" s="98">
        <v>1812.1669120472948</v>
      </c>
      <c r="AP43" s="98">
        <v>1</v>
      </c>
      <c r="AQ43" s="101">
        <v>0.10919341638628717</v>
      </c>
      <c r="AR43" s="101">
        <v>0.4534552930810221</v>
      </c>
      <c r="AS43" s="98">
        <v>377.7293140102421</v>
      </c>
      <c r="AT43" s="98">
        <v>282.45290788403287</v>
      </c>
      <c r="AU43" s="98">
        <v>70.46674929228394</v>
      </c>
      <c r="AV43" s="98">
        <v>323.23046266988894</v>
      </c>
      <c r="AW43" s="98">
        <v>562.6134400960308</v>
      </c>
      <c r="AX43" s="98">
        <v>405.57105879375996</v>
      </c>
      <c r="AY43" s="98">
        <v>1059.3522061277838</v>
      </c>
      <c r="AZ43" s="98">
        <v>582.9390489900089</v>
      </c>
      <c r="BA43" s="101">
        <v>0</v>
      </c>
      <c r="BB43" s="101">
        <v>0</v>
      </c>
      <c r="BC43" s="101">
        <v>0</v>
      </c>
      <c r="BD43" s="98">
        <v>0</v>
      </c>
      <c r="BE43" s="98">
        <v>0</v>
      </c>
      <c r="BF43" s="99">
        <v>6335854</v>
      </c>
      <c r="BG43" s="99">
        <v>2249229</v>
      </c>
      <c r="BH43" s="99">
        <v>13427740</v>
      </c>
      <c r="BI43" s="99">
        <v>5749699</v>
      </c>
      <c r="BJ43" s="99">
        <v>2832158</v>
      </c>
      <c r="BK43" s="97"/>
      <c r="BL43" s="97"/>
      <c r="BM43" s="97"/>
      <c r="BN43" s="97"/>
    </row>
    <row r="44" spans="1:66" ht="12.75">
      <c r="A44" s="8"/>
      <c r="B44" s="8"/>
      <c r="C44" s="8"/>
      <c r="D44" s="299"/>
      <c r="E44" s="299"/>
      <c r="F44" s="299"/>
      <c r="G44" s="299"/>
      <c r="H44" s="299"/>
      <c r="I44" s="299"/>
      <c r="J44" s="299"/>
      <c r="K44" s="299"/>
      <c r="L44" s="299"/>
      <c r="M44" s="299"/>
      <c r="N44" s="299"/>
      <c r="O44" s="299"/>
      <c r="P44" s="300"/>
      <c r="Q44" s="299"/>
      <c r="R44" s="299"/>
      <c r="S44" s="299"/>
      <c r="T44" s="299"/>
      <c r="U44" s="299"/>
      <c r="V44" s="299"/>
      <c r="W44" s="299"/>
      <c r="X44" s="299"/>
      <c r="Y44" s="299"/>
      <c r="Z44" s="299"/>
      <c r="AA44" s="299"/>
      <c r="AB44" s="299"/>
      <c r="AC44" s="299"/>
      <c r="AD44" s="295"/>
      <c r="AE44" s="301"/>
      <c r="AF44" s="301"/>
      <c r="AG44" s="295"/>
      <c r="AH44" s="295"/>
      <c r="AI44" s="301"/>
      <c r="AJ44" s="301"/>
      <c r="AK44" s="301"/>
      <c r="AL44" s="301"/>
      <c r="AM44" s="301"/>
      <c r="AN44" s="301"/>
      <c r="AO44" s="295"/>
      <c r="AP44" s="296"/>
      <c r="AQ44" s="301"/>
      <c r="AR44" s="301"/>
      <c r="AS44" s="295"/>
      <c r="AT44" s="295"/>
      <c r="AU44" s="295"/>
      <c r="AV44" s="295"/>
      <c r="AW44" s="295"/>
      <c r="AX44" s="295"/>
      <c r="AY44" s="295"/>
      <c r="AZ44" s="295"/>
      <c r="BA44" s="301"/>
      <c r="BB44" s="301"/>
      <c r="BC44" s="301"/>
      <c r="BD44" s="296"/>
      <c r="BE44" s="296"/>
      <c r="BF44" s="297"/>
      <c r="BG44" s="297"/>
      <c r="BH44" s="297"/>
      <c r="BI44" s="297"/>
      <c r="BJ44" s="297"/>
      <c r="BK44" s="97"/>
      <c r="BL44" s="97"/>
      <c r="BM44" s="97"/>
      <c r="BN44" s="97"/>
    </row>
    <row r="45" spans="1:66" ht="12.75">
      <c r="A45" s="8"/>
      <c r="B45" s="8"/>
      <c r="C45" s="8"/>
      <c r="D45" s="299"/>
      <c r="E45" s="299"/>
      <c r="F45" s="299"/>
      <c r="G45" s="299"/>
      <c r="H45" s="299"/>
      <c r="I45" s="299"/>
      <c r="J45" s="299"/>
      <c r="K45" s="299"/>
      <c r="L45" s="299"/>
      <c r="M45" s="299"/>
      <c r="N45" s="299"/>
      <c r="O45" s="299"/>
      <c r="P45" s="300"/>
      <c r="Q45" s="299"/>
      <c r="R45" s="299"/>
      <c r="S45" s="299"/>
      <c r="T45" s="299"/>
      <c r="U45" s="299"/>
      <c r="V45" s="299"/>
      <c r="W45" s="299"/>
      <c r="X45" s="299"/>
      <c r="Y45" s="299"/>
      <c r="Z45" s="299"/>
      <c r="AA45" s="299"/>
      <c r="AB45" s="299"/>
      <c r="AC45" s="299"/>
      <c r="AD45" s="295"/>
      <c r="AE45" s="301"/>
      <c r="AF45" s="301"/>
      <c r="AG45" s="295"/>
      <c r="AH45" s="295"/>
      <c r="AI45" s="301"/>
      <c r="AJ45" s="301"/>
      <c r="AK45" s="301"/>
      <c r="AL45" s="301"/>
      <c r="AM45" s="301"/>
      <c r="AN45" s="301"/>
      <c r="AO45" s="295"/>
      <c r="AP45" s="296"/>
      <c r="AQ45" s="301"/>
      <c r="AR45" s="301"/>
      <c r="AS45" s="295"/>
      <c r="AT45" s="295"/>
      <c r="AU45" s="295"/>
      <c r="AV45" s="295"/>
      <c r="AW45" s="295"/>
      <c r="AX45" s="295"/>
      <c r="AY45" s="295"/>
      <c r="AZ45" s="295"/>
      <c r="BA45" s="301"/>
      <c r="BB45" s="301"/>
      <c r="BC45" s="301"/>
      <c r="BD45" s="296"/>
      <c r="BE45" s="296"/>
      <c r="BF45" s="297"/>
      <c r="BG45" s="297"/>
      <c r="BH45" s="297"/>
      <c r="BI45" s="297"/>
      <c r="BJ45" s="297"/>
      <c r="BK45" s="97"/>
      <c r="BL45" s="97"/>
      <c r="BM45" s="97"/>
      <c r="BN45" s="97"/>
    </row>
    <row r="46" spans="1:66" ht="12.75">
      <c r="A46" s="8"/>
      <c r="B46" s="8"/>
      <c r="C46" s="8"/>
      <c r="D46" s="299"/>
      <c r="E46" s="299"/>
      <c r="F46" s="299"/>
      <c r="G46" s="299"/>
      <c r="H46" s="299"/>
      <c r="I46" s="299"/>
      <c r="J46" s="299"/>
      <c r="K46" s="299"/>
      <c r="L46" s="299"/>
      <c r="M46" s="299"/>
      <c r="N46" s="299"/>
      <c r="O46" s="299"/>
      <c r="P46" s="300"/>
      <c r="Q46" s="299"/>
      <c r="R46" s="299"/>
      <c r="S46" s="299"/>
      <c r="T46" s="299"/>
      <c r="U46" s="299"/>
      <c r="V46" s="299"/>
      <c r="W46" s="299"/>
      <c r="X46" s="299"/>
      <c r="Y46" s="299"/>
      <c r="Z46" s="299"/>
      <c r="AA46" s="299"/>
      <c r="AB46" s="299"/>
      <c r="AC46" s="299"/>
      <c r="AD46" s="295"/>
      <c r="AE46" s="301"/>
      <c r="AF46" s="301"/>
      <c r="AG46" s="295"/>
      <c r="AH46" s="295"/>
      <c r="AI46" s="301"/>
      <c r="AJ46" s="301"/>
      <c r="AK46" s="301"/>
      <c r="AL46" s="301"/>
      <c r="AM46" s="301"/>
      <c r="AN46" s="301"/>
      <c r="AO46" s="295"/>
      <c r="AP46" s="296"/>
      <c r="AQ46" s="301"/>
      <c r="AR46" s="301"/>
      <c r="AS46" s="295"/>
      <c r="AT46" s="295"/>
      <c r="AU46" s="295"/>
      <c r="AV46" s="295"/>
      <c r="AW46" s="295"/>
      <c r="AX46" s="295"/>
      <c r="AY46" s="295"/>
      <c r="AZ46" s="295"/>
      <c r="BA46" s="301"/>
      <c r="BB46" s="301"/>
      <c r="BC46" s="301"/>
      <c r="BD46" s="296"/>
      <c r="BE46" s="296"/>
      <c r="BF46" s="297"/>
      <c r="BG46" s="297"/>
      <c r="BH46" s="297"/>
      <c r="BI46" s="297"/>
      <c r="BJ46" s="297"/>
      <c r="BK46" s="97"/>
      <c r="BL46" s="97"/>
      <c r="BM46" s="97"/>
      <c r="BN46" s="97"/>
    </row>
    <row r="47" spans="1:66" ht="12.75">
      <c r="A47" s="8"/>
      <c r="B47" s="8"/>
      <c r="C47" s="8"/>
      <c r="D47" s="299"/>
      <c r="E47" s="299"/>
      <c r="F47" s="299"/>
      <c r="G47" s="299"/>
      <c r="H47" s="299"/>
      <c r="I47" s="299"/>
      <c r="J47" s="299"/>
      <c r="K47" s="299"/>
      <c r="L47" s="299"/>
      <c r="M47" s="299"/>
      <c r="N47" s="299"/>
      <c r="O47" s="299"/>
      <c r="P47" s="300"/>
      <c r="Q47" s="299"/>
      <c r="R47" s="299"/>
      <c r="S47" s="299"/>
      <c r="T47" s="299"/>
      <c r="U47" s="299"/>
      <c r="V47" s="299"/>
      <c r="W47" s="299"/>
      <c r="X47" s="299"/>
      <c r="Y47" s="299"/>
      <c r="Z47" s="299"/>
      <c r="AA47" s="299"/>
      <c r="AB47" s="299"/>
      <c r="AC47" s="299"/>
      <c r="AD47" s="295"/>
      <c r="AE47" s="301"/>
      <c r="AF47" s="301"/>
      <c r="AG47" s="295"/>
      <c r="AH47" s="295"/>
      <c r="AI47" s="301"/>
      <c r="AJ47" s="301"/>
      <c r="AK47" s="301"/>
      <c r="AL47" s="301"/>
      <c r="AM47" s="301"/>
      <c r="AN47" s="301"/>
      <c r="AO47" s="295"/>
      <c r="AP47" s="296"/>
      <c r="AQ47" s="301"/>
      <c r="AR47" s="301"/>
      <c r="AS47" s="295"/>
      <c r="AT47" s="295"/>
      <c r="AU47" s="295"/>
      <c r="AV47" s="295"/>
      <c r="AW47" s="295"/>
      <c r="AX47" s="295"/>
      <c r="AY47" s="295"/>
      <c r="AZ47" s="295"/>
      <c r="BA47" s="302"/>
      <c r="BB47" s="302"/>
      <c r="BC47" s="302"/>
      <c r="BD47" s="296"/>
      <c r="BE47" s="296"/>
      <c r="BF47" s="297"/>
      <c r="BG47" s="297"/>
      <c r="BH47" s="297"/>
      <c r="BI47" s="297"/>
      <c r="BJ47" s="297"/>
      <c r="BK47" s="97"/>
      <c r="BL47" s="97"/>
      <c r="BM47" s="97"/>
      <c r="BN47" s="97"/>
    </row>
    <row r="48" spans="1:66" ht="12.75">
      <c r="A48" s="8"/>
      <c r="B48" s="8"/>
      <c r="C48" s="8"/>
      <c r="D48" s="299"/>
      <c r="E48" s="299"/>
      <c r="F48" s="299"/>
      <c r="G48" s="299"/>
      <c r="H48" s="299"/>
      <c r="I48" s="299"/>
      <c r="J48" s="299"/>
      <c r="K48" s="299"/>
      <c r="L48" s="299"/>
      <c r="M48" s="299"/>
      <c r="N48" s="299"/>
      <c r="O48" s="299"/>
      <c r="P48" s="300"/>
      <c r="Q48" s="299"/>
      <c r="R48" s="299"/>
      <c r="S48" s="299"/>
      <c r="T48" s="299"/>
      <c r="U48" s="299"/>
      <c r="V48" s="299"/>
      <c r="W48" s="299"/>
      <c r="X48" s="299"/>
      <c r="Y48" s="299"/>
      <c r="Z48" s="299"/>
      <c r="AA48" s="299"/>
      <c r="AB48" s="299"/>
      <c r="AC48" s="299"/>
      <c r="AD48" s="295"/>
      <c r="AE48" s="301"/>
      <c r="AF48" s="301"/>
      <c r="AG48" s="295"/>
      <c r="AH48" s="295"/>
      <c r="AI48" s="301"/>
      <c r="AJ48" s="301"/>
      <c r="AK48" s="301"/>
      <c r="AL48" s="301"/>
      <c r="AM48" s="301"/>
      <c r="AN48" s="301"/>
      <c r="AO48" s="295"/>
      <c r="AP48" s="296"/>
      <c r="AQ48" s="301"/>
      <c r="AR48" s="301"/>
      <c r="AS48" s="295"/>
      <c r="AT48" s="295"/>
      <c r="AU48" s="295"/>
      <c r="AV48" s="295"/>
      <c r="AW48" s="295"/>
      <c r="AX48" s="295"/>
      <c r="AY48" s="295"/>
      <c r="AZ48" s="295"/>
      <c r="BA48" s="301"/>
      <c r="BB48" s="301"/>
      <c r="BC48" s="301"/>
      <c r="BD48" s="296"/>
      <c r="BE48" s="296"/>
      <c r="BF48" s="297"/>
      <c r="BG48" s="297"/>
      <c r="BH48" s="297"/>
      <c r="BI48" s="297"/>
      <c r="BJ48" s="297"/>
      <c r="BK48" s="97"/>
      <c r="BL48" s="97"/>
      <c r="BM48" s="97"/>
      <c r="BN48" s="97"/>
    </row>
    <row r="49" spans="1:66" ht="12.75">
      <c r="A49" s="8"/>
      <c r="B49" s="8"/>
      <c r="C49" s="8"/>
      <c r="D49" s="299"/>
      <c r="E49" s="299"/>
      <c r="F49" s="299"/>
      <c r="G49" s="299"/>
      <c r="H49" s="299"/>
      <c r="I49" s="299"/>
      <c r="J49" s="299"/>
      <c r="K49" s="299"/>
      <c r="L49" s="299"/>
      <c r="M49" s="299"/>
      <c r="N49" s="299"/>
      <c r="O49" s="299"/>
      <c r="P49" s="300"/>
      <c r="Q49" s="299"/>
      <c r="R49" s="299"/>
      <c r="S49" s="299"/>
      <c r="T49" s="299"/>
      <c r="U49" s="299"/>
      <c r="V49" s="299"/>
      <c r="W49" s="299"/>
      <c r="X49" s="299"/>
      <c r="Y49" s="299"/>
      <c r="Z49" s="299"/>
      <c r="AA49" s="299"/>
      <c r="AB49" s="299"/>
      <c r="AC49" s="299"/>
      <c r="AD49" s="295"/>
      <c r="AE49" s="301"/>
      <c r="AF49" s="301"/>
      <c r="AG49" s="295"/>
      <c r="AH49" s="295"/>
      <c r="AI49" s="301"/>
      <c r="AJ49" s="301"/>
      <c r="AK49" s="301"/>
      <c r="AL49" s="301"/>
      <c r="AM49" s="301"/>
      <c r="AN49" s="301"/>
      <c r="AO49" s="295"/>
      <c r="AP49" s="296"/>
      <c r="AQ49" s="301"/>
      <c r="AR49" s="301"/>
      <c r="AS49" s="295"/>
      <c r="AT49" s="295"/>
      <c r="AU49" s="295"/>
      <c r="AV49" s="295"/>
      <c r="AW49" s="295"/>
      <c r="AX49" s="295"/>
      <c r="AY49" s="295"/>
      <c r="AZ49" s="295"/>
      <c r="BA49" s="301"/>
      <c r="BB49" s="301"/>
      <c r="BC49" s="301"/>
      <c r="BD49" s="296"/>
      <c r="BE49" s="296"/>
      <c r="BF49" s="297"/>
      <c r="BG49" s="297"/>
      <c r="BH49" s="297"/>
      <c r="BI49" s="297"/>
      <c r="BJ49" s="297"/>
      <c r="BK49" s="97"/>
      <c r="BL49" s="97"/>
      <c r="BM49" s="97"/>
      <c r="BN49" s="97"/>
    </row>
    <row r="50" spans="1:66" ht="12.75">
      <c r="A50" s="8"/>
      <c r="B50" s="8"/>
      <c r="C50" s="8"/>
      <c r="D50" s="299"/>
      <c r="E50" s="299"/>
      <c r="F50" s="299"/>
      <c r="G50" s="299"/>
      <c r="H50" s="299"/>
      <c r="I50" s="299"/>
      <c r="J50" s="299"/>
      <c r="K50" s="299"/>
      <c r="L50" s="299"/>
      <c r="M50" s="299"/>
      <c r="N50" s="299"/>
      <c r="O50" s="299"/>
      <c r="P50" s="300"/>
      <c r="Q50" s="299"/>
      <c r="R50" s="299"/>
      <c r="S50" s="299"/>
      <c r="T50" s="299"/>
      <c r="U50" s="299"/>
      <c r="V50" s="299"/>
      <c r="W50" s="299"/>
      <c r="X50" s="299"/>
      <c r="Y50" s="299"/>
      <c r="Z50" s="299"/>
      <c r="AA50" s="299"/>
      <c r="AB50" s="299"/>
      <c r="AC50" s="299"/>
      <c r="AD50" s="295"/>
      <c r="AE50" s="301"/>
      <c r="AF50" s="301"/>
      <c r="AG50" s="295"/>
      <c r="AH50" s="295"/>
      <c r="AI50" s="301"/>
      <c r="AJ50" s="301"/>
      <c r="AK50" s="301"/>
      <c r="AL50" s="301"/>
      <c r="AM50" s="301"/>
      <c r="AN50" s="301"/>
      <c r="AO50" s="295"/>
      <c r="AP50" s="296"/>
      <c r="AQ50" s="301"/>
      <c r="AR50" s="301"/>
      <c r="AS50" s="295"/>
      <c r="AT50" s="295"/>
      <c r="AU50" s="295"/>
      <c r="AV50" s="295"/>
      <c r="AW50" s="295"/>
      <c r="AX50" s="295"/>
      <c r="AY50" s="295"/>
      <c r="AZ50" s="295"/>
      <c r="BA50" s="301"/>
      <c r="BB50" s="301"/>
      <c r="BC50" s="301"/>
      <c r="BD50" s="296"/>
      <c r="BE50" s="296"/>
      <c r="BF50" s="297"/>
      <c r="BG50" s="297"/>
      <c r="BH50" s="297"/>
      <c r="BI50" s="297"/>
      <c r="BJ50" s="297"/>
      <c r="BK50" s="97"/>
      <c r="BL50" s="97"/>
      <c r="BM50" s="97"/>
      <c r="BN50" s="97"/>
    </row>
    <row r="51" spans="1:66" ht="12.75">
      <c r="A51" s="8"/>
      <c r="B51" s="8"/>
      <c r="C51" s="8"/>
      <c r="D51" s="299"/>
      <c r="E51" s="299"/>
      <c r="F51" s="299"/>
      <c r="G51" s="299"/>
      <c r="H51" s="299"/>
      <c r="I51" s="299"/>
      <c r="J51" s="299"/>
      <c r="K51" s="299"/>
      <c r="L51" s="299"/>
      <c r="M51" s="299"/>
      <c r="N51" s="299"/>
      <c r="O51" s="299"/>
      <c r="P51" s="300"/>
      <c r="Q51" s="299"/>
      <c r="R51" s="299"/>
      <c r="S51" s="299"/>
      <c r="T51" s="299"/>
      <c r="U51" s="299"/>
      <c r="V51" s="299"/>
      <c r="W51" s="299"/>
      <c r="X51" s="299"/>
      <c r="Y51" s="299"/>
      <c r="Z51" s="299"/>
      <c r="AA51" s="299"/>
      <c r="AB51" s="299"/>
      <c r="AC51" s="299"/>
      <c r="AD51" s="295"/>
      <c r="AE51" s="301"/>
      <c r="AF51" s="301"/>
      <c r="AG51" s="295"/>
      <c r="AH51" s="295"/>
      <c r="AI51" s="301"/>
      <c r="AJ51" s="301"/>
      <c r="AK51" s="301"/>
      <c r="AL51" s="301"/>
      <c r="AM51" s="301"/>
      <c r="AN51" s="301"/>
      <c r="AO51" s="295"/>
      <c r="AP51" s="296"/>
      <c r="AQ51" s="301"/>
      <c r="AR51" s="301"/>
      <c r="AS51" s="295"/>
      <c r="AT51" s="295"/>
      <c r="AU51" s="295"/>
      <c r="AV51" s="295"/>
      <c r="AW51" s="295"/>
      <c r="AX51" s="295"/>
      <c r="AY51" s="295"/>
      <c r="AZ51" s="295"/>
      <c r="BA51" s="301"/>
      <c r="BB51" s="301"/>
      <c r="BC51" s="301"/>
      <c r="BD51" s="296"/>
      <c r="BE51" s="296"/>
      <c r="BF51" s="297"/>
      <c r="BG51" s="297"/>
      <c r="BH51" s="297"/>
      <c r="BI51" s="297"/>
      <c r="BJ51" s="297"/>
      <c r="BK51" s="97"/>
      <c r="BL51" s="97"/>
      <c r="BM51" s="97"/>
      <c r="BN51" s="97"/>
    </row>
    <row r="52" spans="1:66" ht="12.75">
      <c r="A52" s="8"/>
      <c r="B52" s="8"/>
      <c r="C52" s="8"/>
      <c r="D52" s="299"/>
      <c r="E52" s="299"/>
      <c r="F52" s="299"/>
      <c r="G52" s="299"/>
      <c r="H52" s="299"/>
      <c r="I52" s="299"/>
      <c r="J52" s="299"/>
      <c r="K52" s="299"/>
      <c r="L52" s="299"/>
      <c r="M52" s="299"/>
      <c r="N52" s="299"/>
      <c r="O52" s="299"/>
      <c r="P52" s="300"/>
      <c r="Q52" s="299"/>
      <c r="R52" s="299"/>
      <c r="S52" s="299"/>
      <c r="T52" s="299"/>
      <c r="U52" s="299"/>
      <c r="V52" s="299"/>
      <c r="W52" s="299"/>
      <c r="X52" s="299"/>
      <c r="Y52" s="299"/>
      <c r="Z52" s="299"/>
      <c r="AA52" s="299"/>
      <c r="AB52" s="299"/>
      <c r="AC52" s="299"/>
      <c r="AD52" s="295"/>
      <c r="AE52" s="301"/>
      <c r="AF52" s="301"/>
      <c r="AG52" s="295"/>
      <c r="AH52" s="295"/>
      <c r="AI52" s="301"/>
      <c r="AJ52" s="301"/>
      <c r="AK52" s="301"/>
      <c r="AL52" s="301"/>
      <c r="AM52" s="301"/>
      <c r="AN52" s="301"/>
      <c r="AO52" s="295"/>
      <c r="AP52" s="296"/>
      <c r="AQ52" s="301"/>
      <c r="AR52" s="301"/>
      <c r="AS52" s="295"/>
      <c r="AT52" s="295"/>
      <c r="AU52" s="295"/>
      <c r="AV52" s="295"/>
      <c r="AW52" s="295"/>
      <c r="AX52" s="295"/>
      <c r="AY52" s="295"/>
      <c r="AZ52" s="295"/>
      <c r="BA52" s="301"/>
      <c r="BB52" s="301"/>
      <c r="BC52" s="301"/>
      <c r="BD52" s="296"/>
      <c r="BE52" s="296"/>
      <c r="BF52" s="297"/>
      <c r="BG52" s="297"/>
      <c r="BH52" s="297"/>
      <c r="BI52" s="297"/>
      <c r="BJ52" s="297"/>
      <c r="BK52" s="97"/>
      <c r="BL52" s="97"/>
      <c r="BM52" s="97"/>
      <c r="BN52" s="97"/>
    </row>
    <row r="53" spans="1:66" ht="12.75">
      <c r="A53" s="8"/>
      <c r="B53" s="8"/>
      <c r="C53" s="8"/>
      <c r="D53" s="299"/>
      <c r="E53" s="299"/>
      <c r="F53" s="299"/>
      <c r="G53" s="299"/>
      <c r="H53" s="299"/>
      <c r="I53" s="299"/>
      <c r="J53" s="299"/>
      <c r="K53" s="299"/>
      <c r="L53" s="299"/>
      <c r="M53" s="299"/>
      <c r="N53" s="299"/>
      <c r="O53" s="299"/>
      <c r="P53" s="300"/>
      <c r="Q53" s="299"/>
      <c r="R53" s="299"/>
      <c r="S53" s="299"/>
      <c r="T53" s="299"/>
      <c r="U53" s="299"/>
      <c r="V53" s="299"/>
      <c r="W53" s="299"/>
      <c r="X53" s="299"/>
      <c r="Y53" s="299"/>
      <c r="Z53" s="299"/>
      <c r="AA53" s="299"/>
      <c r="AB53" s="299"/>
      <c r="AC53" s="299"/>
      <c r="AD53" s="295"/>
      <c r="AE53" s="301"/>
      <c r="AF53" s="301"/>
      <c r="AG53" s="295"/>
      <c r="AH53" s="295"/>
      <c r="AI53" s="301"/>
      <c r="AJ53" s="301"/>
      <c r="AK53" s="301"/>
      <c r="AL53" s="301"/>
      <c r="AM53" s="301"/>
      <c r="AN53" s="301"/>
      <c r="AO53" s="295"/>
      <c r="AP53" s="296"/>
      <c r="AQ53" s="301"/>
      <c r="AR53" s="301"/>
      <c r="AS53" s="295"/>
      <c r="AT53" s="295"/>
      <c r="AU53" s="295"/>
      <c r="AV53" s="295"/>
      <c r="AW53" s="295"/>
      <c r="AX53" s="295"/>
      <c r="AY53" s="295"/>
      <c r="AZ53" s="295"/>
      <c r="BA53" s="301"/>
      <c r="BB53" s="301"/>
      <c r="BC53" s="301"/>
      <c r="BD53" s="296"/>
      <c r="BE53" s="296"/>
      <c r="BF53" s="297"/>
      <c r="BG53" s="297"/>
      <c r="BH53" s="297"/>
      <c r="BI53" s="297"/>
      <c r="BJ53" s="297"/>
      <c r="BK53" s="97"/>
      <c r="BL53" s="97"/>
      <c r="BM53" s="97"/>
      <c r="BN53" s="97"/>
    </row>
    <row r="54" spans="1:66" ht="12.75">
      <c r="A54" s="8"/>
      <c r="B54" s="8"/>
      <c r="C54" s="8"/>
      <c r="D54" s="299"/>
      <c r="E54" s="299"/>
      <c r="F54" s="299"/>
      <c r="G54" s="299"/>
      <c r="H54" s="299"/>
      <c r="I54" s="299"/>
      <c r="J54" s="299"/>
      <c r="K54" s="299"/>
      <c r="L54" s="299"/>
      <c r="M54" s="299"/>
      <c r="N54" s="299"/>
      <c r="O54" s="299"/>
      <c r="P54" s="300"/>
      <c r="Q54" s="299"/>
      <c r="R54" s="299"/>
      <c r="S54" s="299"/>
      <c r="T54" s="299"/>
      <c r="U54" s="299"/>
      <c r="V54" s="299"/>
      <c r="W54" s="299"/>
      <c r="X54" s="299"/>
      <c r="Y54" s="299"/>
      <c r="Z54" s="299"/>
      <c r="AA54" s="299"/>
      <c r="AB54" s="299"/>
      <c r="AC54" s="299"/>
      <c r="AD54" s="295"/>
      <c r="AE54" s="301"/>
      <c r="AF54" s="301"/>
      <c r="AG54" s="295"/>
      <c r="AH54" s="295"/>
      <c r="AI54" s="301"/>
      <c r="AJ54" s="301"/>
      <c r="AK54" s="301"/>
      <c r="AL54" s="301"/>
      <c r="AM54" s="301"/>
      <c r="AN54" s="301"/>
      <c r="AO54" s="295"/>
      <c r="AP54" s="296"/>
      <c r="AQ54" s="301"/>
      <c r="AR54" s="301"/>
      <c r="AS54" s="295"/>
      <c r="AT54" s="295"/>
      <c r="AU54" s="295"/>
      <c r="AV54" s="295"/>
      <c r="AW54" s="295"/>
      <c r="AX54" s="295"/>
      <c r="AY54" s="295"/>
      <c r="AZ54" s="295"/>
      <c r="BA54" s="301"/>
      <c r="BB54" s="301"/>
      <c r="BC54" s="301"/>
      <c r="BD54" s="296"/>
      <c r="BE54" s="296"/>
      <c r="BF54" s="297"/>
      <c r="BG54" s="297"/>
      <c r="BH54" s="297"/>
      <c r="BI54" s="297"/>
      <c r="BJ54" s="297"/>
      <c r="BK54" s="97"/>
      <c r="BL54" s="97"/>
      <c r="BM54" s="97"/>
      <c r="BN54" s="97"/>
    </row>
    <row r="55" spans="1:66" ht="12.75">
      <c r="A55" s="8"/>
      <c r="B55" s="298"/>
      <c r="C55" s="298"/>
      <c r="D55" s="299"/>
      <c r="E55" s="299"/>
      <c r="F55" s="299"/>
      <c r="G55" s="299"/>
      <c r="H55" s="299"/>
      <c r="I55" s="299"/>
      <c r="J55" s="299"/>
      <c r="K55" s="299"/>
      <c r="L55" s="299"/>
      <c r="M55" s="299"/>
      <c r="N55" s="299"/>
      <c r="O55" s="299"/>
      <c r="P55" s="299"/>
      <c r="Q55" s="299"/>
      <c r="R55" s="299"/>
      <c r="S55" s="299"/>
      <c r="T55" s="299"/>
      <c r="U55" s="299"/>
      <c r="V55" s="299"/>
      <c r="W55" s="299"/>
      <c r="X55" s="299"/>
      <c r="Y55" s="299"/>
      <c r="Z55" s="299"/>
      <c r="AA55" s="299"/>
      <c r="AB55" s="299"/>
      <c r="AC55" s="299"/>
      <c r="AD55" s="295"/>
      <c r="AE55" s="302"/>
      <c r="AF55" s="302"/>
      <c r="AG55" s="295"/>
      <c r="AH55" s="295"/>
      <c r="AI55" s="302"/>
      <c r="AJ55" s="302"/>
      <c r="AK55" s="302"/>
      <c r="AL55" s="302"/>
      <c r="AM55" s="302"/>
      <c r="AN55" s="302"/>
      <c r="AO55" s="295"/>
      <c r="AP55" s="295"/>
      <c r="AQ55" s="302"/>
      <c r="AR55" s="302"/>
      <c r="AS55" s="295"/>
      <c r="AT55" s="295"/>
      <c r="AU55" s="295"/>
      <c r="AV55" s="295"/>
      <c r="AW55" s="295"/>
      <c r="AX55" s="295"/>
      <c r="AY55" s="295"/>
      <c r="AZ55" s="295"/>
      <c r="BA55" s="302"/>
      <c r="BB55" s="302"/>
      <c r="BC55" s="302"/>
      <c r="BD55" s="295"/>
      <c r="BE55" s="295"/>
      <c r="BF55" s="299"/>
      <c r="BG55" s="299"/>
      <c r="BH55" s="299"/>
      <c r="BI55" s="299"/>
      <c r="BJ55" s="299"/>
      <c r="BK55" s="97"/>
      <c r="BL55" s="97"/>
      <c r="BM55" s="97"/>
      <c r="BN55" s="97"/>
    </row>
    <row r="56" spans="1:66" ht="12.75">
      <c r="A56" s="8"/>
      <c r="B56" s="298"/>
      <c r="C56" s="298"/>
      <c r="D56" s="299"/>
      <c r="E56" s="299"/>
      <c r="F56" s="299"/>
      <c r="G56" s="299"/>
      <c r="H56" s="299"/>
      <c r="I56" s="299"/>
      <c r="J56" s="299"/>
      <c r="K56" s="299"/>
      <c r="L56" s="299"/>
      <c r="M56" s="299"/>
      <c r="N56" s="299"/>
      <c r="O56" s="299"/>
      <c r="P56" s="299"/>
      <c r="Q56" s="299"/>
      <c r="R56" s="299"/>
      <c r="S56" s="299"/>
      <c r="T56" s="299"/>
      <c r="U56" s="299"/>
      <c r="V56" s="299"/>
      <c r="W56" s="299"/>
      <c r="X56" s="299"/>
      <c r="Y56" s="299"/>
      <c r="Z56" s="299"/>
      <c r="AA56" s="299"/>
      <c r="AB56" s="299"/>
      <c r="AC56" s="299"/>
      <c r="AD56" s="295"/>
      <c r="AE56" s="302"/>
      <c r="AF56" s="302"/>
      <c r="AG56" s="295"/>
      <c r="AH56" s="295"/>
      <c r="AI56" s="302"/>
      <c r="AJ56" s="302"/>
      <c r="AK56" s="302"/>
      <c r="AL56" s="302"/>
      <c r="AM56" s="302"/>
      <c r="AN56" s="302"/>
      <c r="AO56" s="295"/>
      <c r="AP56" s="295"/>
      <c r="AQ56" s="302"/>
      <c r="AR56" s="302"/>
      <c r="AS56" s="295"/>
      <c r="AT56" s="295"/>
      <c r="AU56" s="295"/>
      <c r="AV56" s="295"/>
      <c r="AW56" s="295"/>
      <c r="AX56" s="295"/>
      <c r="AY56" s="295"/>
      <c r="AZ56" s="295"/>
      <c r="BA56" s="302"/>
      <c r="BB56" s="302"/>
      <c r="BC56" s="302"/>
      <c r="BD56" s="295"/>
      <c r="BE56" s="295"/>
      <c r="BF56" s="299"/>
      <c r="BG56" s="299"/>
      <c r="BH56" s="299"/>
      <c r="BI56" s="299"/>
      <c r="BJ56" s="299"/>
      <c r="BK56" s="97"/>
      <c r="BL56" s="97"/>
      <c r="BM56" s="97"/>
      <c r="BN56" s="97"/>
    </row>
    <row r="57" spans="1:66" ht="12.75">
      <c r="A57" s="8"/>
      <c r="B57" s="8"/>
      <c r="C57" s="8"/>
      <c r="D57" s="299"/>
      <c r="E57" s="299"/>
      <c r="F57" s="299"/>
      <c r="G57" s="299"/>
      <c r="H57" s="299"/>
      <c r="I57" s="299"/>
      <c r="J57" s="299"/>
      <c r="K57" s="299"/>
      <c r="L57" s="299"/>
      <c r="M57" s="299"/>
      <c r="N57" s="299"/>
      <c r="O57" s="299"/>
      <c r="P57" s="300"/>
      <c r="Q57" s="299"/>
      <c r="R57" s="299"/>
      <c r="S57" s="299"/>
      <c r="T57" s="299"/>
      <c r="U57" s="299"/>
      <c r="V57" s="299"/>
      <c r="W57" s="299"/>
      <c r="X57" s="299"/>
      <c r="Y57" s="299"/>
      <c r="Z57" s="299"/>
      <c r="AA57" s="299"/>
      <c r="AB57" s="299"/>
      <c r="AC57" s="299"/>
      <c r="AD57" s="295"/>
      <c r="AE57" s="301"/>
      <c r="AF57" s="301"/>
      <c r="AG57" s="295"/>
      <c r="AH57" s="295"/>
      <c r="AI57" s="301"/>
      <c r="AJ57" s="301"/>
      <c r="AK57" s="301"/>
      <c r="AL57" s="301"/>
      <c r="AM57" s="301"/>
      <c r="AN57" s="301"/>
      <c r="AO57" s="295"/>
      <c r="AP57" s="296"/>
      <c r="AQ57" s="301"/>
      <c r="AR57" s="301"/>
      <c r="AS57" s="295"/>
      <c r="AT57" s="295"/>
      <c r="AU57" s="295"/>
      <c r="AV57" s="295"/>
      <c r="AW57" s="295"/>
      <c r="AX57" s="295"/>
      <c r="AY57" s="295"/>
      <c r="AZ57" s="295"/>
      <c r="BA57" s="301"/>
      <c r="BB57" s="301"/>
      <c r="BC57" s="301"/>
      <c r="BD57" s="296"/>
      <c r="BE57" s="296"/>
      <c r="BF57" s="297"/>
      <c r="BG57" s="297"/>
      <c r="BH57" s="297"/>
      <c r="BI57" s="297"/>
      <c r="BJ57" s="297"/>
      <c r="BK57" s="97"/>
      <c r="BL57" s="97"/>
      <c r="BM57" s="97"/>
      <c r="BN57" s="97"/>
    </row>
    <row r="58" spans="1:66" ht="12.75">
      <c r="A58" s="8"/>
      <c r="B58" s="8"/>
      <c r="C58" s="8"/>
      <c r="D58" s="299"/>
      <c r="E58" s="299"/>
      <c r="F58" s="299"/>
      <c r="G58" s="299"/>
      <c r="H58" s="299"/>
      <c r="I58" s="299"/>
      <c r="J58" s="299"/>
      <c r="K58" s="299"/>
      <c r="L58" s="299"/>
      <c r="M58" s="299"/>
      <c r="N58" s="299"/>
      <c r="O58" s="299"/>
      <c r="P58" s="300"/>
      <c r="Q58" s="299"/>
      <c r="R58" s="299"/>
      <c r="S58" s="299"/>
      <c r="T58" s="299"/>
      <c r="U58" s="299"/>
      <c r="V58" s="299"/>
      <c r="W58" s="299"/>
      <c r="X58" s="299"/>
      <c r="Y58" s="299"/>
      <c r="Z58" s="299"/>
      <c r="AA58" s="299"/>
      <c r="AB58" s="299"/>
      <c r="AC58" s="299"/>
      <c r="AD58" s="295"/>
      <c r="AE58" s="301"/>
      <c r="AF58" s="301"/>
      <c r="AG58" s="295"/>
      <c r="AH58" s="295"/>
      <c r="AI58" s="301"/>
      <c r="AJ58" s="301"/>
      <c r="AK58" s="301"/>
      <c r="AL58" s="301"/>
      <c r="AM58" s="301"/>
      <c r="AN58" s="301"/>
      <c r="AO58" s="295"/>
      <c r="AP58" s="296"/>
      <c r="AQ58" s="301"/>
      <c r="AR58" s="301"/>
      <c r="AS58" s="295"/>
      <c r="AT58" s="295"/>
      <c r="AU58" s="295"/>
      <c r="AV58" s="295"/>
      <c r="AW58" s="295"/>
      <c r="AX58" s="295"/>
      <c r="AY58" s="295"/>
      <c r="AZ58" s="295"/>
      <c r="BA58" s="301"/>
      <c r="BB58" s="301"/>
      <c r="BC58" s="301"/>
      <c r="BD58" s="296"/>
      <c r="BE58" s="296"/>
      <c r="BF58" s="297"/>
      <c r="BG58" s="297"/>
      <c r="BH58" s="297"/>
      <c r="BI58" s="297"/>
      <c r="BJ58" s="297"/>
      <c r="BK58" s="97"/>
      <c r="BL58" s="97"/>
      <c r="BM58" s="97"/>
      <c r="BN58" s="97"/>
    </row>
    <row r="59" spans="1:66" ht="12.75">
      <c r="A59" s="8"/>
      <c r="B59" s="8"/>
      <c r="C59" s="8"/>
      <c r="D59" s="299"/>
      <c r="E59" s="299"/>
      <c r="F59" s="299"/>
      <c r="G59" s="299"/>
      <c r="H59" s="299"/>
      <c r="I59" s="299"/>
      <c r="J59" s="299"/>
      <c r="K59" s="299"/>
      <c r="L59" s="299"/>
      <c r="M59" s="299"/>
      <c r="N59" s="299"/>
      <c r="O59" s="299"/>
      <c r="P59" s="300"/>
      <c r="Q59" s="299"/>
      <c r="R59" s="299"/>
      <c r="S59" s="299"/>
      <c r="T59" s="299"/>
      <c r="U59" s="299"/>
      <c r="V59" s="299"/>
      <c r="W59" s="299"/>
      <c r="X59" s="299"/>
      <c r="Y59" s="299"/>
      <c r="Z59" s="299"/>
      <c r="AA59" s="299"/>
      <c r="AB59" s="299"/>
      <c r="AC59" s="299"/>
      <c r="AD59" s="295"/>
      <c r="AE59" s="301"/>
      <c r="AF59" s="301"/>
      <c r="AG59" s="295"/>
      <c r="AH59" s="295"/>
      <c r="AI59" s="301"/>
      <c r="AJ59" s="301"/>
      <c r="AK59" s="301"/>
      <c r="AL59" s="301"/>
      <c r="AM59" s="301"/>
      <c r="AN59" s="301"/>
      <c r="AO59" s="295"/>
      <c r="AP59" s="296"/>
      <c r="AQ59" s="301"/>
      <c r="AR59" s="301"/>
      <c r="AS59" s="295"/>
      <c r="AT59" s="295"/>
      <c r="AU59" s="295"/>
      <c r="AV59" s="295"/>
      <c r="AW59" s="295"/>
      <c r="AX59" s="295"/>
      <c r="AY59" s="295"/>
      <c r="AZ59" s="295"/>
      <c r="BA59" s="301"/>
      <c r="BB59" s="301"/>
      <c r="BC59" s="301"/>
      <c r="BD59" s="296"/>
      <c r="BE59" s="296"/>
      <c r="BF59" s="297"/>
      <c r="BG59" s="297"/>
      <c r="BH59" s="297"/>
      <c r="BI59" s="297"/>
      <c r="BJ59" s="297"/>
      <c r="BK59" s="97"/>
      <c r="BL59" s="97"/>
      <c r="BM59" s="97"/>
      <c r="BN59" s="97"/>
    </row>
    <row r="60" spans="1:66" ht="12.75">
      <c r="A60" s="8"/>
      <c r="B60" s="8"/>
      <c r="C60" s="8"/>
      <c r="D60" s="299"/>
      <c r="E60" s="299"/>
      <c r="F60" s="299"/>
      <c r="G60" s="299"/>
      <c r="H60" s="299"/>
      <c r="I60" s="299"/>
      <c r="J60" s="299"/>
      <c r="K60" s="299"/>
      <c r="L60" s="299"/>
      <c r="M60" s="299"/>
      <c r="N60" s="299"/>
      <c r="O60" s="299"/>
      <c r="P60" s="300"/>
      <c r="Q60" s="299"/>
      <c r="R60" s="299"/>
      <c r="S60" s="299"/>
      <c r="T60" s="299"/>
      <c r="U60" s="299"/>
      <c r="V60" s="299"/>
      <c r="W60" s="299"/>
      <c r="X60" s="299"/>
      <c r="Y60" s="299"/>
      <c r="Z60" s="299"/>
      <c r="AA60" s="299"/>
      <c r="AB60" s="299"/>
      <c r="AC60" s="299"/>
      <c r="AD60" s="295"/>
      <c r="AE60" s="301"/>
      <c r="AF60" s="301"/>
      <c r="AG60" s="295"/>
      <c r="AH60" s="295"/>
      <c r="AI60" s="301"/>
      <c r="AJ60" s="301"/>
      <c r="AK60" s="301"/>
      <c r="AL60" s="301"/>
      <c r="AM60" s="301"/>
      <c r="AN60" s="301"/>
      <c r="AO60" s="295"/>
      <c r="AP60" s="296"/>
      <c r="AQ60" s="301"/>
      <c r="AR60" s="301"/>
      <c r="AS60" s="295"/>
      <c r="AT60" s="295"/>
      <c r="AU60" s="295"/>
      <c r="AV60" s="295"/>
      <c r="AW60" s="295"/>
      <c r="AX60" s="295"/>
      <c r="AY60" s="295"/>
      <c r="AZ60" s="295"/>
      <c r="BA60" s="301"/>
      <c r="BB60" s="301"/>
      <c r="BC60" s="301"/>
      <c r="BD60" s="296"/>
      <c r="BE60" s="296"/>
      <c r="BF60" s="297"/>
      <c r="BG60" s="297"/>
      <c r="BH60" s="297"/>
      <c r="BI60" s="297"/>
      <c r="BJ60" s="297"/>
      <c r="BK60" s="97"/>
      <c r="BL60" s="97"/>
      <c r="BM60" s="97"/>
      <c r="BN60" s="97"/>
    </row>
    <row r="61" spans="1:66" ht="12.75">
      <c r="A61" s="8"/>
      <c r="B61" s="8"/>
      <c r="C61" s="8"/>
      <c r="D61" s="299"/>
      <c r="E61" s="299"/>
      <c r="F61" s="299"/>
      <c r="G61" s="299"/>
      <c r="H61" s="299"/>
      <c r="I61" s="299"/>
      <c r="J61" s="299"/>
      <c r="K61" s="299"/>
      <c r="L61" s="299"/>
      <c r="M61" s="299"/>
      <c r="N61" s="299"/>
      <c r="O61" s="299"/>
      <c r="P61" s="300"/>
      <c r="Q61" s="299"/>
      <c r="R61" s="299"/>
      <c r="S61" s="299"/>
      <c r="T61" s="299"/>
      <c r="U61" s="299"/>
      <c r="V61" s="299"/>
      <c r="W61" s="299"/>
      <c r="X61" s="299"/>
      <c r="Y61" s="299"/>
      <c r="Z61" s="299"/>
      <c r="AA61" s="299"/>
      <c r="AB61" s="299"/>
      <c r="AC61" s="299"/>
      <c r="AD61" s="295"/>
      <c r="AE61" s="301"/>
      <c r="AF61" s="301"/>
      <c r="AG61" s="295"/>
      <c r="AH61" s="295"/>
      <c r="AI61" s="301"/>
      <c r="AJ61" s="301"/>
      <c r="AK61" s="301"/>
      <c r="AL61" s="301"/>
      <c r="AM61" s="301"/>
      <c r="AN61" s="301"/>
      <c r="AO61" s="295"/>
      <c r="AP61" s="296"/>
      <c r="AQ61" s="301"/>
      <c r="AR61" s="301"/>
      <c r="AS61" s="295"/>
      <c r="AT61" s="295"/>
      <c r="AU61" s="295"/>
      <c r="AV61" s="295"/>
      <c r="AW61" s="295"/>
      <c r="AX61" s="295"/>
      <c r="AY61" s="295"/>
      <c r="AZ61" s="295"/>
      <c r="BA61" s="301"/>
      <c r="BB61" s="301"/>
      <c r="BC61" s="301"/>
      <c r="BD61" s="296"/>
      <c r="BE61" s="296"/>
      <c r="BF61" s="297"/>
      <c r="BG61" s="297"/>
      <c r="BH61" s="297"/>
      <c r="BI61" s="297"/>
      <c r="BJ61" s="297"/>
      <c r="BK61" s="97"/>
      <c r="BL61" s="97"/>
      <c r="BM61" s="97"/>
      <c r="BN61" s="97"/>
    </row>
    <row r="62" spans="1:66" ht="12.75">
      <c r="A62" s="8"/>
      <c r="B62" s="8"/>
      <c r="C62" s="8"/>
      <c r="D62" s="299"/>
      <c r="E62" s="299"/>
      <c r="F62" s="299"/>
      <c r="G62" s="299"/>
      <c r="H62" s="299"/>
      <c r="I62" s="299"/>
      <c r="J62" s="299"/>
      <c r="K62" s="299"/>
      <c r="L62" s="299"/>
      <c r="M62" s="299"/>
      <c r="N62" s="299"/>
      <c r="O62" s="299"/>
      <c r="P62" s="300"/>
      <c r="Q62" s="299"/>
      <c r="R62" s="299"/>
      <c r="S62" s="299"/>
      <c r="T62" s="299"/>
      <c r="U62" s="299"/>
      <c r="V62" s="299"/>
      <c r="W62" s="299"/>
      <c r="X62" s="299"/>
      <c r="Y62" s="299"/>
      <c r="Z62" s="299"/>
      <c r="AA62" s="299"/>
      <c r="AB62" s="299"/>
      <c r="AC62" s="299"/>
      <c r="AD62" s="295"/>
      <c r="AE62" s="301"/>
      <c r="AF62" s="301"/>
      <c r="AG62" s="295"/>
      <c r="AH62" s="295"/>
      <c r="AI62" s="301"/>
      <c r="AJ62" s="301"/>
      <c r="AK62" s="301"/>
      <c r="AL62" s="301"/>
      <c r="AM62" s="301"/>
      <c r="AN62" s="301"/>
      <c r="AO62" s="295"/>
      <c r="AP62" s="296"/>
      <c r="AQ62" s="301"/>
      <c r="AR62" s="301"/>
      <c r="AS62" s="295"/>
      <c r="AT62" s="295"/>
      <c r="AU62" s="295"/>
      <c r="AV62" s="295"/>
      <c r="AW62" s="295"/>
      <c r="AX62" s="295"/>
      <c r="AY62" s="295"/>
      <c r="AZ62" s="295"/>
      <c r="BA62" s="301"/>
      <c r="BB62" s="301"/>
      <c r="BC62" s="301"/>
      <c r="BD62" s="296"/>
      <c r="BE62" s="296"/>
      <c r="BF62" s="297"/>
      <c r="BG62" s="297"/>
      <c r="BH62" s="297"/>
      <c r="BI62" s="297"/>
      <c r="BJ62" s="297"/>
      <c r="BK62" s="97"/>
      <c r="BL62" s="97"/>
      <c r="BM62" s="97"/>
      <c r="BN62" s="97"/>
    </row>
    <row r="63" spans="1:66" ht="12.75">
      <c r="A63" s="8"/>
      <c r="B63" s="8"/>
      <c r="C63" s="8"/>
      <c r="D63" s="299"/>
      <c r="E63" s="299"/>
      <c r="F63" s="299"/>
      <c r="G63" s="299"/>
      <c r="H63" s="299"/>
      <c r="I63" s="299"/>
      <c r="J63" s="299"/>
      <c r="K63" s="299"/>
      <c r="L63" s="299"/>
      <c r="M63" s="299"/>
      <c r="N63" s="299"/>
      <c r="O63" s="299"/>
      <c r="P63" s="300"/>
      <c r="Q63" s="299"/>
      <c r="R63" s="299"/>
      <c r="S63" s="299"/>
      <c r="T63" s="299"/>
      <c r="U63" s="299"/>
      <c r="V63" s="299"/>
      <c r="W63" s="299"/>
      <c r="X63" s="299"/>
      <c r="Y63" s="299"/>
      <c r="Z63" s="299"/>
      <c r="AA63" s="299"/>
      <c r="AB63" s="299"/>
      <c r="AC63" s="299"/>
      <c r="AD63" s="295"/>
      <c r="AE63" s="301"/>
      <c r="AF63" s="301"/>
      <c r="AG63" s="295"/>
      <c r="AH63" s="295"/>
      <c r="AI63" s="301"/>
      <c r="AJ63" s="301"/>
      <c r="AK63" s="301"/>
      <c r="AL63" s="301"/>
      <c r="AM63" s="301"/>
      <c r="AN63" s="301"/>
      <c r="AO63" s="295"/>
      <c r="AP63" s="296"/>
      <c r="AQ63" s="301"/>
      <c r="AR63" s="301"/>
      <c r="AS63" s="295"/>
      <c r="AT63" s="295"/>
      <c r="AU63" s="295"/>
      <c r="AV63" s="295"/>
      <c r="AW63" s="295"/>
      <c r="AX63" s="295"/>
      <c r="AY63" s="295"/>
      <c r="AZ63" s="295"/>
      <c r="BA63" s="301"/>
      <c r="BB63" s="301"/>
      <c r="BC63" s="301"/>
      <c r="BD63" s="296"/>
      <c r="BE63" s="296"/>
      <c r="BF63" s="297"/>
      <c r="BG63" s="297"/>
      <c r="BH63" s="297"/>
      <c r="BI63" s="297"/>
      <c r="BJ63" s="297"/>
      <c r="BK63" s="97"/>
      <c r="BL63" s="97"/>
      <c r="BM63" s="97"/>
      <c r="BN63" s="97"/>
    </row>
    <row r="64" spans="1:66" ht="12.75">
      <c r="A64" s="8"/>
      <c r="B64" s="8"/>
      <c r="C64" s="8"/>
      <c r="D64" s="299"/>
      <c r="E64" s="299"/>
      <c r="F64" s="299"/>
      <c r="G64" s="299"/>
      <c r="H64" s="299"/>
      <c r="I64" s="299"/>
      <c r="J64" s="299"/>
      <c r="K64" s="299"/>
      <c r="L64" s="299"/>
      <c r="M64" s="299"/>
      <c r="N64" s="299"/>
      <c r="O64" s="299"/>
      <c r="P64" s="300"/>
      <c r="Q64" s="299"/>
      <c r="R64" s="299"/>
      <c r="S64" s="299"/>
      <c r="T64" s="299"/>
      <c r="U64" s="299"/>
      <c r="V64" s="299"/>
      <c r="W64" s="299"/>
      <c r="X64" s="299"/>
      <c r="Y64" s="299"/>
      <c r="Z64" s="299"/>
      <c r="AA64" s="299"/>
      <c r="AB64" s="299"/>
      <c r="AC64" s="299"/>
      <c r="AD64" s="295"/>
      <c r="AE64" s="301"/>
      <c r="AF64" s="301"/>
      <c r="AG64" s="295"/>
      <c r="AH64" s="295"/>
      <c r="AI64" s="301"/>
      <c r="AJ64" s="301"/>
      <c r="AK64" s="301"/>
      <c r="AL64" s="301"/>
      <c r="AM64" s="301"/>
      <c r="AN64" s="301"/>
      <c r="AO64" s="295"/>
      <c r="AP64" s="296"/>
      <c r="AQ64" s="301"/>
      <c r="AR64" s="301"/>
      <c r="AS64" s="295"/>
      <c r="AT64" s="295"/>
      <c r="AU64" s="295"/>
      <c r="AV64" s="295"/>
      <c r="AW64" s="295"/>
      <c r="AX64" s="295"/>
      <c r="AY64" s="295"/>
      <c r="AZ64" s="295"/>
      <c r="BA64" s="301"/>
      <c r="BB64" s="301"/>
      <c r="BC64" s="301"/>
      <c r="BD64" s="296"/>
      <c r="BE64" s="296"/>
      <c r="BF64" s="297"/>
      <c r="BG64" s="297"/>
      <c r="BH64" s="297"/>
      <c r="BI64" s="297"/>
      <c r="BJ64" s="297"/>
      <c r="BK64" s="97"/>
      <c r="BL64" s="97"/>
      <c r="BM64" s="97"/>
      <c r="BN64" s="97"/>
    </row>
    <row r="65" spans="1:66" ht="12.75">
      <c r="A65" s="8"/>
      <c r="B65" s="8"/>
      <c r="C65" s="8"/>
      <c r="D65" s="299"/>
      <c r="E65" s="299"/>
      <c r="F65" s="299"/>
      <c r="G65" s="299"/>
      <c r="H65" s="299"/>
      <c r="I65" s="299"/>
      <c r="J65" s="299"/>
      <c r="K65" s="299"/>
      <c r="L65" s="299"/>
      <c r="M65" s="299"/>
      <c r="N65" s="299"/>
      <c r="O65" s="299"/>
      <c r="P65" s="300"/>
      <c r="Q65" s="299"/>
      <c r="R65" s="299"/>
      <c r="S65" s="299"/>
      <c r="T65" s="299"/>
      <c r="U65" s="299"/>
      <c r="V65" s="299"/>
      <c r="W65" s="299"/>
      <c r="X65" s="299"/>
      <c r="Y65" s="299"/>
      <c r="Z65" s="299"/>
      <c r="AA65" s="299"/>
      <c r="AB65" s="299"/>
      <c r="AC65" s="299"/>
      <c r="AD65" s="295"/>
      <c r="AE65" s="301"/>
      <c r="AF65" s="301"/>
      <c r="AG65" s="295"/>
      <c r="AH65" s="295"/>
      <c r="AI65" s="301"/>
      <c r="AJ65" s="301"/>
      <c r="AK65" s="301"/>
      <c r="AL65" s="301"/>
      <c r="AM65" s="301"/>
      <c r="AN65" s="301"/>
      <c r="AO65" s="295"/>
      <c r="AP65" s="296"/>
      <c r="AQ65" s="301"/>
      <c r="AR65" s="301"/>
      <c r="AS65" s="295"/>
      <c r="AT65" s="295"/>
      <c r="AU65" s="295"/>
      <c r="AV65" s="295"/>
      <c r="AW65" s="295"/>
      <c r="AX65" s="295"/>
      <c r="AY65" s="295"/>
      <c r="AZ65" s="295"/>
      <c r="BA65" s="301"/>
      <c r="BB65" s="301"/>
      <c r="BC65" s="301"/>
      <c r="BD65" s="296"/>
      <c r="BE65" s="296"/>
      <c r="BF65" s="297"/>
      <c r="BG65" s="297"/>
      <c r="BH65" s="297"/>
      <c r="BI65" s="297"/>
      <c r="BJ65" s="297"/>
      <c r="BK65" s="97"/>
      <c r="BL65" s="97"/>
      <c r="BM65" s="97"/>
      <c r="BN65" s="97"/>
    </row>
    <row r="66" spans="1:66" ht="12.75">
      <c r="A66" s="8"/>
      <c r="B66" s="8"/>
      <c r="C66" s="8"/>
      <c r="D66" s="299"/>
      <c r="E66" s="299"/>
      <c r="F66" s="299"/>
      <c r="G66" s="299"/>
      <c r="H66" s="299"/>
      <c r="I66" s="299"/>
      <c r="J66" s="299"/>
      <c r="K66" s="299"/>
      <c r="L66" s="299"/>
      <c r="M66" s="299"/>
      <c r="N66" s="299"/>
      <c r="O66" s="299"/>
      <c r="P66" s="300"/>
      <c r="Q66" s="299"/>
      <c r="R66" s="299"/>
      <c r="S66" s="299"/>
      <c r="T66" s="299"/>
      <c r="U66" s="299"/>
      <c r="V66" s="299"/>
      <c r="W66" s="299"/>
      <c r="X66" s="299"/>
      <c r="Y66" s="299"/>
      <c r="Z66" s="299"/>
      <c r="AA66" s="299"/>
      <c r="AB66" s="299"/>
      <c r="AC66" s="299"/>
      <c r="AD66" s="295"/>
      <c r="AE66" s="301"/>
      <c r="AF66" s="301"/>
      <c r="AG66" s="295"/>
      <c r="AH66" s="295"/>
      <c r="AI66" s="301"/>
      <c r="AJ66" s="301"/>
      <c r="AK66" s="301"/>
      <c r="AL66" s="301"/>
      <c r="AM66" s="301"/>
      <c r="AN66" s="301"/>
      <c r="AO66" s="295"/>
      <c r="AP66" s="296"/>
      <c r="AQ66" s="301"/>
      <c r="AR66" s="301"/>
      <c r="AS66" s="295"/>
      <c r="AT66" s="295"/>
      <c r="AU66" s="295"/>
      <c r="AV66" s="295"/>
      <c r="AW66" s="295"/>
      <c r="AX66" s="295"/>
      <c r="AY66" s="295"/>
      <c r="AZ66" s="295"/>
      <c r="BA66" s="301"/>
      <c r="BB66" s="301"/>
      <c r="BC66" s="301"/>
      <c r="BD66" s="296"/>
      <c r="BE66" s="296"/>
      <c r="BF66" s="297"/>
      <c r="BG66" s="297"/>
      <c r="BH66" s="297"/>
      <c r="BI66" s="297"/>
      <c r="BJ66" s="297"/>
      <c r="BK66" s="97"/>
      <c r="BL66" s="97"/>
      <c r="BM66" s="97"/>
      <c r="BN66" s="97"/>
    </row>
    <row r="67" spans="1:66" ht="12.75">
      <c r="A67" s="8"/>
      <c r="B67" s="8"/>
      <c r="C67" s="8"/>
      <c r="D67" s="299"/>
      <c r="E67" s="299"/>
      <c r="F67" s="299"/>
      <c r="G67" s="299"/>
      <c r="H67" s="299"/>
      <c r="I67" s="299"/>
      <c r="J67" s="299"/>
      <c r="K67" s="299"/>
      <c r="L67" s="299"/>
      <c r="M67" s="299"/>
      <c r="N67" s="299"/>
      <c r="O67" s="299"/>
      <c r="P67" s="300"/>
      <c r="Q67" s="299"/>
      <c r="R67" s="299"/>
      <c r="S67" s="299"/>
      <c r="T67" s="299"/>
      <c r="U67" s="299"/>
      <c r="V67" s="299"/>
      <c r="W67" s="299"/>
      <c r="X67" s="299"/>
      <c r="Y67" s="299"/>
      <c r="Z67" s="299"/>
      <c r="AA67" s="299"/>
      <c r="AB67" s="299"/>
      <c r="AC67" s="299"/>
      <c r="AD67" s="295"/>
      <c r="AE67" s="301"/>
      <c r="AF67" s="301"/>
      <c r="AG67" s="295"/>
      <c r="AH67" s="295"/>
      <c r="AI67" s="301"/>
      <c r="AJ67" s="301"/>
      <c r="AK67" s="301"/>
      <c r="AL67" s="301"/>
      <c r="AM67" s="301"/>
      <c r="AN67" s="301"/>
      <c r="AO67" s="295"/>
      <c r="AP67" s="296"/>
      <c r="AQ67" s="301"/>
      <c r="AR67" s="301"/>
      <c r="AS67" s="295"/>
      <c r="AT67" s="295"/>
      <c r="AU67" s="295"/>
      <c r="AV67" s="295"/>
      <c r="AW67" s="295"/>
      <c r="AX67" s="295"/>
      <c r="AY67" s="295"/>
      <c r="AZ67" s="295"/>
      <c r="BA67" s="301"/>
      <c r="BB67" s="301"/>
      <c r="BC67" s="301"/>
      <c r="BD67" s="296"/>
      <c r="BE67" s="296"/>
      <c r="BF67" s="297"/>
      <c r="BG67" s="297"/>
      <c r="BH67" s="297"/>
      <c r="BI67" s="297"/>
      <c r="BJ67" s="297"/>
      <c r="BK67" s="97"/>
      <c r="BL67" s="97"/>
      <c r="BM67" s="97"/>
      <c r="BN67" s="97"/>
    </row>
    <row r="68" spans="1:66" ht="12.75">
      <c r="A68" s="8"/>
      <c r="B68" s="8"/>
      <c r="C68" s="8"/>
      <c r="D68" s="299"/>
      <c r="E68" s="299"/>
      <c r="F68" s="299"/>
      <c r="G68" s="299"/>
      <c r="H68" s="299"/>
      <c r="I68" s="299"/>
      <c r="J68" s="299"/>
      <c r="K68" s="299"/>
      <c r="L68" s="299"/>
      <c r="M68" s="299"/>
      <c r="N68" s="299"/>
      <c r="O68" s="299"/>
      <c r="P68" s="300"/>
      <c r="Q68" s="299"/>
      <c r="R68" s="299"/>
      <c r="S68" s="299"/>
      <c r="T68" s="299"/>
      <c r="U68" s="299"/>
      <c r="V68" s="299"/>
      <c r="W68" s="299"/>
      <c r="X68" s="299"/>
      <c r="Y68" s="299"/>
      <c r="Z68" s="299"/>
      <c r="AA68" s="299"/>
      <c r="AB68" s="299"/>
      <c r="AC68" s="299"/>
      <c r="AD68" s="295"/>
      <c r="AE68" s="301"/>
      <c r="AF68" s="301"/>
      <c r="AG68" s="295"/>
      <c r="AH68" s="295"/>
      <c r="AI68" s="301"/>
      <c r="AJ68" s="301"/>
      <c r="AK68" s="301"/>
      <c r="AL68" s="301"/>
      <c r="AM68" s="301"/>
      <c r="AN68" s="301"/>
      <c r="AO68" s="295"/>
      <c r="AP68" s="296"/>
      <c r="AQ68" s="301"/>
      <c r="AR68" s="301"/>
      <c r="AS68" s="295"/>
      <c r="AT68" s="295"/>
      <c r="AU68" s="295"/>
      <c r="AV68" s="295"/>
      <c r="AW68" s="295"/>
      <c r="AX68" s="295"/>
      <c r="AY68" s="295"/>
      <c r="AZ68" s="295"/>
      <c r="BA68" s="301"/>
      <c r="BB68" s="301"/>
      <c r="BC68" s="301"/>
      <c r="BD68" s="296"/>
      <c r="BE68" s="296"/>
      <c r="BF68" s="297"/>
      <c r="BG68" s="297"/>
      <c r="BH68" s="297"/>
      <c r="BI68" s="297"/>
      <c r="BJ68" s="297"/>
      <c r="BK68" s="97"/>
      <c r="BL68" s="97"/>
      <c r="BM68" s="97"/>
      <c r="BN68" s="97"/>
    </row>
    <row r="69" spans="1:66" ht="12.75">
      <c r="A69" s="8"/>
      <c r="B69" s="8"/>
      <c r="C69" s="8"/>
      <c r="D69" s="299"/>
      <c r="E69" s="299"/>
      <c r="F69" s="299"/>
      <c r="G69" s="299"/>
      <c r="H69" s="299"/>
      <c r="I69" s="299"/>
      <c r="J69" s="299"/>
      <c r="K69" s="299"/>
      <c r="L69" s="299"/>
      <c r="M69" s="299"/>
      <c r="N69" s="299"/>
      <c r="O69" s="299"/>
      <c r="P69" s="300"/>
      <c r="Q69" s="299"/>
      <c r="R69" s="299"/>
      <c r="S69" s="299"/>
      <c r="T69" s="299"/>
      <c r="U69" s="299"/>
      <c r="V69" s="299"/>
      <c r="W69" s="299"/>
      <c r="X69" s="299"/>
      <c r="Y69" s="299"/>
      <c r="Z69" s="299"/>
      <c r="AA69" s="299"/>
      <c r="AB69" s="299"/>
      <c r="AC69" s="299"/>
      <c r="AD69" s="295"/>
      <c r="AE69" s="301"/>
      <c r="AF69" s="301"/>
      <c r="AG69" s="295"/>
      <c r="AH69" s="295"/>
      <c r="AI69" s="301"/>
      <c r="AJ69" s="301"/>
      <c r="AK69" s="301"/>
      <c r="AL69" s="301"/>
      <c r="AM69" s="301"/>
      <c r="AN69" s="301"/>
      <c r="AO69" s="295"/>
      <c r="AP69" s="296"/>
      <c r="AQ69" s="301"/>
      <c r="AR69" s="301"/>
      <c r="AS69" s="295"/>
      <c r="AT69" s="295"/>
      <c r="AU69" s="295"/>
      <c r="AV69" s="295"/>
      <c r="AW69" s="295"/>
      <c r="AX69" s="295"/>
      <c r="AY69" s="295"/>
      <c r="AZ69" s="295"/>
      <c r="BA69" s="301"/>
      <c r="BB69" s="301"/>
      <c r="BC69" s="301"/>
      <c r="BD69" s="296"/>
      <c r="BE69" s="296"/>
      <c r="BF69" s="297"/>
      <c r="BG69" s="297"/>
      <c r="BH69" s="297"/>
      <c r="BI69" s="297"/>
      <c r="BJ69" s="297"/>
      <c r="BK69" s="97"/>
      <c r="BL69" s="97"/>
      <c r="BM69" s="97"/>
      <c r="BN69" s="97"/>
    </row>
    <row r="70" spans="1:66" ht="12.75">
      <c r="A70" s="8"/>
      <c r="B70" s="8"/>
      <c r="C70" s="8"/>
      <c r="D70" s="299"/>
      <c r="E70" s="299"/>
      <c r="F70" s="299"/>
      <c r="G70" s="299"/>
      <c r="H70" s="299"/>
      <c r="I70" s="299"/>
      <c r="J70" s="299"/>
      <c r="K70" s="299"/>
      <c r="L70" s="299"/>
      <c r="M70" s="299"/>
      <c r="N70" s="299"/>
      <c r="O70" s="299"/>
      <c r="P70" s="300"/>
      <c r="Q70" s="299"/>
      <c r="R70" s="299"/>
      <c r="S70" s="299"/>
      <c r="T70" s="299"/>
      <c r="U70" s="299"/>
      <c r="V70" s="299"/>
      <c r="W70" s="299"/>
      <c r="X70" s="299"/>
      <c r="Y70" s="299"/>
      <c r="Z70" s="299"/>
      <c r="AA70" s="299"/>
      <c r="AB70" s="299"/>
      <c r="AC70" s="299"/>
      <c r="AD70" s="295"/>
      <c r="AE70" s="301"/>
      <c r="AF70" s="301"/>
      <c r="AG70" s="295"/>
      <c r="AH70" s="295"/>
      <c r="AI70" s="301"/>
      <c r="AJ70" s="301"/>
      <c r="AK70" s="301"/>
      <c r="AL70" s="301"/>
      <c r="AM70" s="301"/>
      <c r="AN70" s="301"/>
      <c r="AO70" s="295"/>
      <c r="AP70" s="296"/>
      <c r="AQ70" s="301"/>
      <c r="AR70" s="301"/>
      <c r="AS70" s="295"/>
      <c r="AT70" s="295"/>
      <c r="AU70" s="295"/>
      <c r="AV70" s="295"/>
      <c r="AW70" s="295"/>
      <c r="AX70" s="295"/>
      <c r="AY70" s="295"/>
      <c r="AZ70" s="295"/>
      <c r="BA70" s="301"/>
      <c r="BB70" s="301"/>
      <c r="BC70" s="301"/>
      <c r="BD70" s="296"/>
      <c r="BE70" s="296"/>
      <c r="BF70" s="297"/>
      <c r="BG70" s="297"/>
      <c r="BH70" s="297"/>
      <c r="BI70" s="297"/>
      <c r="BJ70" s="297"/>
      <c r="BK70" s="97"/>
      <c r="BL70" s="97"/>
      <c r="BM70" s="97"/>
      <c r="BN70" s="97"/>
    </row>
    <row r="71" spans="1:66" ht="12.75">
      <c r="A71" s="8"/>
      <c r="B71" s="8"/>
      <c r="C71" s="8"/>
      <c r="D71" s="299"/>
      <c r="E71" s="299"/>
      <c r="F71" s="299"/>
      <c r="G71" s="299"/>
      <c r="H71" s="299"/>
      <c r="I71" s="299"/>
      <c r="J71" s="299"/>
      <c r="K71" s="299"/>
      <c r="L71" s="299"/>
      <c r="M71" s="299"/>
      <c r="N71" s="299"/>
      <c r="O71" s="299"/>
      <c r="P71" s="300"/>
      <c r="Q71" s="299"/>
      <c r="R71" s="299"/>
      <c r="S71" s="299"/>
      <c r="T71" s="299"/>
      <c r="U71" s="299"/>
      <c r="V71" s="299"/>
      <c r="W71" s="299"/>
      <c r="X71" s="299"/>
      <c r="Y71" s="299"/>
      <c r="Z71" s="299"/>
      <c r="AA71" s="299"/>
      <c r="AB71" s="299"/>
      <c r="AC71" s="299"/>
      <c r="AD71" s="295"/>
      <c r="AE71" s="301"/>
      <c r="AF71" s="301"/>
      <c r="AG71" s="295"/>
      <c r="AH71" s="295"/>
      <c r="AI71" s="301"/>
      <c r="AJ71" s="301"/>
      <c r="AK71" s="301"/>
      <c r="AL71" s="301"/>
      <c r="AM71" s="301"/>
      <c r="AN71" s="301"/>
      <c r="AO71" s="295"/>
      <c r="AP71" s="296"/>
      <c r="AQ71" s="301"/>
      <c r="AR71" s="301"/>
      <c r="AS71" s="295"/>
      <c r="AT71" s="295"/>
      <c r="AU71" s="295"/>
      <c r="AV71" s="295"/>
      <c r="AW71" s="295"/>
      <c r="AX71" s="295"/>
      <c r="AY71" s="295"/>
      <c r="AZ71" s="295"/>
      <c r="BA71" s="301"/>
      <c r="BB71" s="301"/>
      <c r="BC71" s="301"/>
      <c r="BD71" s="296"/>
      <c r="BE71" s="296"/>
      <c r="BF71" s="297"/>
      <c r="BG71" s="297"/>
      <c r="BH71" s="297"/>
      <c r="BI71" s="297"/>
      <c r="BJ71" s="297"/>
      <c r="BK71" s="97"/>
      <c r="BL71" s="97"/>
      <c r="BM71" s="97"/>
      <c r="BN71" s="97"/>
    </row>
    <row r="72" spans="1:66" ht="12.75">
      <c r="A72" s="8"/>
      <c r="B72" s="8"/>
      <c r="C72" s="8"/>
      <c r="D72" s="299"/>
      <c r="E72" s="299"/>
      <c r="F72" s="299"/>
      <c r="G72" s="299"/>
      <c r="H72" s="299"/>
      <c r="I72" s="299"/>
      <c r="J72" s="299"/>
      <c r="K72" s="299"/>
      <c r="L72" s="299"/>
      <c r="M72" s="299"/>
      <c r="N72" s="299"/>
      <c r="O72" s="299"/>
      <c r="P72" s="300"/>
      <c r="Q72" s="299"/>
      <c r="R72" s="299"/>
      <c r="S72" s="299"/>
      <c r="T72" s="299"/>
      <c r="U72" s="299"/>
      <c r="V72" s="299"/>
      <c r="W72" s="299"/>
      <c r="X72" s="299"/>
      <c r="Y72" s="299"/>
      <c r="Z72" s="299"/>
      <c r="AA72" s="299"/>
      <c r="AB72" s="299"/>
      <c r="AC72" s="299"/>
      <c r="AD72" s="295"/>
      <c r="AE72" s="301"/>
      <c r="AF72" s="301"/>
      <c r="AG72" s="295"/>
      <c r="AH72" s="295"/>
      <c r="AI72" s="301"/>
      <c r="AJ72" s="301"/>
      <c r="AK72" s="301"/>
      <c r="AL72" s="301"/>
      <c r="AM72" s="301"/>
      <c r="AN72" s="301"/>
      <c r="AO72" s="295"/>
      <c r="AP72" s="296"/>
      <c r="AQ72" s="301"/>
      <c r="AR72" s="301"/>
      <c r="AS72" s="295"/>
      <c r="AT72" s="295"/>
      <c r="AU72" s="295"/>
      <c r="AV72" s="295"/>
      <c r="AW72" s="295"/>
      <c r="AX72" s="295"/>
      <c r="AY72" s="295"/>
      <c r="AZ72" s="295"/>
      <c r="BA72" s="301"/>
      <c r="BB72" s="301"/>
      <c r="BC72" s="301"/>
      <c r="BD72" s="296"/>
      <c r="BE72" s="296"/>
      <c r="BF72" s="297"/>
      <c r="BG72" s="297"/>
      <c r="BH72" s="297"/>
      <c r="BI72" s="297"/>
      <c r="BJ72" s="297"/>
      <c r="BK72" s="97"/>
      <c r="BL72" s="97"/>
      <c r="BM72" s="97"/>
      <c r="BN72" s="97"/>
    </row>
    <row r="73" spans="1:66" ht="12.75">
      <c r="A73" s="8"/>
      <c r="B73" s="8"/>
      <c r="C73" s="8"/>
      <c r="D73" s="299"/>
      <c r="E73" s="299"/>
      <c r="F73" s="299"/>
      <c r="G73" s="299"/>
      <c r="H73" s="299"/>
      <c r="I73" s="299"/>
      <c r="J73" s="299"/>
      <c r="K73" s="299"/>
      <c r="L73" s="299"/>
      <c r="M73" s="299"/>
      <c r="N73" s="299"/>
      <c r="O73" s="299"/>
      <c r="P73" s="300"/>
      <c r="Q73" s="299"/>
      <c r="R73" s="299"/>
      <c r="S73" s="299"/>
      <c r="T73" s="299"/>
      <c r="U73" s="299"/>
      <c r="V73" s="299"/>
      <c r="W73" s="299"/>
      <c r="X73" s="299"/>
      <c r="Y73" s="299"/>
      <c r="Z73" s="299"/>
      <c r="AA73" s="299"/>
      <c r="AB73" s="299"/>
      <c r="AC73" s="299"/>
      <c r="AD73" s="295"/>
      <c r="AE73" s="301"/>
      <c r="AF73" s="301"/>
      <c r="AG73" s="295"/>
      <c r="AH73" s="295"/>
      <c r="AI73" s="301"/>
      <c r="AJ73" s="301"/>
      <c r="AK73" s="301"/>
      <c r="AL73" s="301"/>
      <c r="AM73" s="301"/>
      <c r="AN73" s="301"/>
      <c r="AO73" s="295"/>
      <c r="AP73" s="296"/>
      <c r="AQ73" s="301"/>
      <c r="AR73" s="301"/>
      <c r="AS73" s="295"/>
      <c r="AT73" s="295"/>
      <c r="AU73" s="295"/>
      <c r="AV73" s="295"/>
      <c r="AW73" s="295"/>
      <c r="AX73" s="295"/>
      <c r="AY73" s="295"/>
      <c r="AZ73" s="295"/>
      <c r="BA73" s="301"/>
      <c r="BB73" s="301"/>
      <c r="BC73" s="301"/>
      <c r="BD73" s="296"/>
      <c r="BE73" s="296"/>
      <c r="BF73" s="297"/>
      <c r="BG73" s="297"/>
      <c r="BH73" s="297"/>
      <c r="BI73" s="297"/>
      <c r="BJ73" s="297"/>
      <c r="BK73" s="97"/>
      <c r="BL73" s="97"/>
      <c r="BM73" s="97"/>
      <c r="BN73" s="97"/>
    </row>
    <row r="74" spans="1:66" ht="12.75">
      <c r="A74" s="8"/>
      <c r="B74" s="8"/>
      <c r="C74" s="8"/>
      <c r="D74" s="299"/>
      <c r="E74" s="299"/>
      <c r="F74" s="299"/>
      <c r="G74" s="299"/>
      <c r="H74" s="299"/>
      <c r="I74" s="299"/>
      <c r="J74" s="299"/>
      <c r="K74" s="299"/>
      <c r="L74" s="299"/>
      <c r="M74" s="299"/>
      <c r="N74" s="299"/>
      <c r="O74" s="299"/>
      <c r="P74" s="300"/>
      <c r="Q74" s="299"/>
      <c r="R74" s="299"/>
      <c r="S74" s="299"/>
      <c r="T74" s="299"/>
      <c r="U74" s="299"/>
      <c r="V74" s="299"/>
      <c r="W74" s="299"/>
      <c r="X74" s="299"/>
      <c r="Y74" s="299"/>
      <c r="Z74" s="299"/>
      <c r="AA74" s="299"/>
      <c r="AB74" s="299"/>
      <c r="AC74" s="299"/>
      <c r="AD74" s="295"/>
      <c r="AE74" s="301"/>
      <c r="AF74" s="301"/>
      <c r="AG74" s="295"/>
      <c r="AH74" s="295"/>
      <c r="AI74" s="301"/>
      <c r="AJ74" s="301"/>
      <c r="AK74" s="301"/>
      <c r="AL74" s="301"/>
      <c r="AM74" s="301"/>
      <c r="AN74" s="301"/>
      <c r="AO74" s="295"/>
      <c r="AP74" s="296"/>
      <c r="AQ74" s="301"/>
      <c r="AR74" s="301"/>
      <c r="AS74" s="295"/>
      <c r="AT74" s="295"/>
      <c r="AU74" s="295"/>
      <c r="AV74" s="295"/>
      <c r="AW74" s="295"/>
      <c r="AX74" s="295"/>
      <c r="AY74" s="295"/>
      <c r="AZ74" s="295"/>
      <c r="BA74" s="301"/>
      <c r="BB74" s="301"/>
      <c r="BC74" s="301"/>
      <c r="BD74" s="296"/>
      <c r="BE74" s="296"/>
      <c r="BF74" s="297"/>
      <c r="BG74" s="297"/>
      <c r="BH74" s="297"/>
      <c r="BI74" s="297"/>
      <c r="BJ74" s="297"/>
      <c r="BK74" s="97"/>
      <c r="BL74" s="97"/>
      <c r="BM74" s="97"/>
      <c r="BN74" s="97"/>
    </row>
    <row r="75" spans="1:66" ht="12.75">
      <c r="A75" s="8"/>
      <c r="B75" s="8"/>
      <c r="C75" s="8"/>
      <c r="D75" s="299"/>
      <c r="E75" s="299"/>
      <c r="F75" s="299"/>
      <c r="G75" s="299"/>
      <c r="H75" s="299"/>
      <c r="I75" s="299"/>
      <c r="J75" s="299"/>
      <c r="K75" s="299"/>
      <c r="L75" s="299"/>
      <c r="M75" s="299"/>
      <c r="N75" s="299"/>
      <c r="O75" s="299"/>
      <c r="P75" s="300"/>
      <c r="Q75" s="299"/>
      <c r="R75" s="299"/>
      <c r="S75" s="299"/>
      <c r="T75" s="299"/>
      <c r="U75" s="299"/>
      <c r="V75" s="299"/>
      <c r="W75" s="299"/>
      <c r="X75" s="299"/>
      <c r="Y75" s="299"/>
      <c r="Z75" s="299"/>
      <c r="AA75" s="299"/>
      <c r="AB75" s="299"/>
      <c r="AC75" s="299"/>
      <c r="AD75" s="295"/>
      <c r="AE75" s="301"/>
      <c r="AF75" s="301"/>
      <c r="AG75" s="295"/>
      <c r="AH75" s="295"/>
      <c r="AI75" s="301"/>
      <c r="AJ75" s="301"/>
      <c r="AK75" s="301"/>
      <c r="AL75" s="301"/>
      <c r="AM75" s="301"/>
      <c r="AN75" s="301"/>
      <c r="AO75" s="295"/>
      <c r="AP75" s="296"/>
      <c r="AQ75" s="301"/>
      <c r="AR75" s="301"/>
      <c r="AS75" s="295"/>
      <c r="AT75" s="295"/>
      <c r="AU75" s="295"/>
      <c r="AV75" s="295"/>
      <c r="AW75" s="295"/>
      <c r="AX75" s="295"/>
      <c r="AY75" s="295"/>
      <c r="AZ75" s="295"/>
      <c r="BA75" s="301"/>
      <c r="BB75" s="301"/>
      <c r="BC75" s="301"/>
      <c r="BD75" s="296"/>
      <c r="BE75" s="296"/>
      <c r="BF75" s="297"/>
      <c r="BG75" s="297"/>
      <c r="BH75" s="297"/>
      <c r="BI75" s="297"/>
      <c r="BJ75" s="297"/>
      <c r="BK75" s="97"/>
      <c r="BL75" s="97"/>
      <c r="BM75" s="97"/>
      <c r="BN75" s="97"/>
    </row>
    <row r="76" spans="1:66" ht="12.75">
      <c r="A76" s="8"/>
      <c r="B76" s="8"/>
      <c r="C76" s="8"/>
      <c r="D76" s="299"/>
      <c r="E76" s="299"/>
      <c r="F76" s="299"/>
      <c r="G76" s="299"/>
      <c r="H76" s="299"/>
      <c r="I76" s="299"/>
      <c r="J76" s="299"/>
      <c r="K76" s="299"/>
      <c r="L76" s="299"/>
      <c r="M76" s="299"/>
      <c r="N76" s="299"/>
      <c r="O76" s="299"/>
      <c r="P76" s="300"/>
      <c r="Q76" s="299"/>
      <c r="R76" s="299"/>
      <c r="S76" s="299"/>
      <c r="T76" s="299"/>
      <c r="U76" s="299"/>
      <c r="V76" s="299"/>
      <c r="W76" s="299"/>
      <c r="X76" s="299"/>
      <c r="Y76" s="299"/>
      <c r="Z76" s="299"/>
      <c r="AA76" s="299"/>
      <c r="AB76" s="299"/>
      <c r="AC76" s="299"/>
      <c r="AD76" s="295"/>
      <c r="AE76" s="301"/>
      <c r="AF76" s="301"/>
      <c r="AG76" s="295"/>
      <c r="AH76" s="295"/>
      <c r="AI76" s="301"/>
      <c r="AJ76" s="301"/>
      <c r="AK76" s="301"/>
      <c r="AL76" s="301"/>
      <c r="AM76" s="301"/>
      <c r="AN76" s="301"/>
      <c r="AO76" s="295"/>
      <c r="AP76" s="296"/>
      <c r="AQ76" s="301"/>
      <c r="AR76" s="301"/>
      <c r="AS76" s="295"/>
      <c r="AT76" s="295"/>
      <c r="AU76" s="295"/>
      <c r="AV76" s="295"/>
      <c r="AW76" s="295"/>
      <c r="AX76" s="295"/>
      <c r="AY76" s="295"/>
      <c r="AZ76" s="295"/>
      <c r="BA76" s="301"/>
      <c r="BB76" s="301"/>
      <c r="BC76" s="301"/>
      <c r="BD76" s="296"/>
      <c r="BE76" s="296"/>
      <c r="BF76" s="297"/>
      <c r="BG76" s="297"/>
      <c r="BH76" s="297"/>
      <c r="BI76" s="297"/>
      <c r="BJ76" s="297"/>
      <c r="BK76" s="97"/>
      <c r="BL76" s="97"/>
      <c r="BM76" s="97"/>
      <c r="BN76" s="97"/>
    </row>
    <row r="77" spans="1:66" ht="12.75">
      <c r="A77" s="8"/>
      <c r="B77" s="8"/>
      <c r="C77" s="8"/>
      <c r="D77" s="299"/>
      <c r="E77" s="299"/>
      <c r="F77" s="299"/>
      <c r="G77" s="299"/>
      <c r="H77" s="299"/>
      <c r="I77" s="299"/>
      <c r="J77" s="299"/>
      <c r="K77" s="299"/>
      <c r="L77" s="299"/>
      <c r="M77" s="299"/>
      <c r="N77" s="299"/>
      <c r="O77" s="299"/>
      <c r="P77" s="300"/>
      <c r="Q77" s="299"/>
      <c r="R77" s="299"/>
      <c r="S77" s="299"/>
      <c r="T77" s="299"/>
      <c r="U77" s="299"/>
      <c r="V77" s="299"/>
      <c r="W77" s="299"/>
      <c r="X77" s="299"/>
      <c r="Y77" s="299"/>
      <c r="Z77" s="299"/>
      <c r="AA77" s="299"/>
      <c r="AB77" s="299"/>
      <c r="AC77" s="299"/>
      <c r="AD77" s="295"/>
      <c r="AE77" s="301"/>
      <c r="AF77" s="301"/>
      <c r="AG77" s="295"/>
      <c r="AH77" s="295"/>
      <c r="AI77" s="301"/>
      <c r="AJ77" s="301"/>
      <c r="AK77" s="301"/>
      <c r="AL77" s="301"/>
      <c r="AM77" s="301"/>
      <c r="AN77" s="301"/>
      <c r="AO77" s="295"/>
      <c r="AP77" s="296"/>
      <c r="AQ77" s="301"/>
      <c r="AR77" s="301"/>
      <c r="AS77" s="295"/>
      <c r="AT77" s="295"/>
      <c r="AU77" s="295"/>
      <c r="AV77" s="295"/>
      <c r="AW77" s="295"/>
      <c r="AX77" s="295"/>
      <c r="AY77" s="295"/>
      <c r="AZ77" s="295"/>
      <c r="BA77" s="301"/>
      <c r="BB77" s="301"/>
      <c r="BC77" s="301"/>
      <c r="BD77" s="296"/>
      <c r="BE77" s="296"/>
      <c r="BF77" s="297"/>
      <c r="BG77" s="297"/>
      <c r="BH77" s="297"/>
      <c r="BI77" s="297"/>
      <c r="BJ77" s="297"/>
      <c r="BK77" s="97"/>
      <c r="BL77" s="97"/>
      <c r="BM77" s="97"/>
      <c r="BN77" s="97"/>
    </row>
    <row r="78" spans="1:66" ht="12.75">
      <c r="A78" s="8"/>
      <c r="B78" s="8"/>
      <c r="C78" s="8"/>
      <c r="D78" s="299"/>
      <c r="E78" s="299"/>
      <c r="F78" s="299"/>
      <c r="G78" s="299"/>
      <c r="H78" s="299"/>
      <c r="I78" s="299"/>
      <c r="J78" s="299"/>
      <c r="K78" s="299"/>
      <c r="L78" s="299"/>
      <c r="M78" s="299"/>
      <c r="N78" s="299"/>
      <c r="O78" s="299"/>
      <c r="P78" s="300"/>
      <c r="Q78" s="299"/>
      <c r="R78" s="299"/>
      <c r="S78" s="299"/>
      <c r="T78" s="299"/>
      <c r="U78" s="299"/>
      <c r="V78" s="299"/>
      <c r="W78" s="299"/>
      <c r="X78" s="299"/>
      <c r="Y78" s="299"/>
      <c r="Z78" s="299"/>
      <c r="AA78" s="299"/>
      <c r="AB78" s="299"/>
      <c r="AC78" s="299"/>
      <c r="AD78" s="295"/>
      <c r="AE78" s="301"/>
      <c r="AF78" s="301"/>
      <c r="AG78" s="295"/>
      <c r="AH78" s="295"/>
      <c r="AI78" s="301"/>
      <c r="AJ78" s="301"/>
      <c r="AK78" s="301"/>
      <c r="AL78" s="301"/>
      <c r="AM78" s="301"/>
      <c r="AN78" s="301"/>
      <c r="AO78" s="295"/>
      <c r="AP78" s="296"/>
      <c r="AQ78" s="301"/>
      <c r="AR78" s="301"/>
      <c r="AS78" s="295"/>
      <c r="AT78" s="295"/>
      <c r="AU78" s="295"/>
      <c r="AV78" s="295"/>
      <c r="AW78" s="295"/>
      <c r="AX78" s="295"/>
      <c r="AY78" s="295"/>
      <c r="AZ78" s="295"/>
      <c r="BA78" s="301"/>
      <c r="BB78" s="301"/>
      <c r="BC78" s="301"/>
      <c r="BD78" s="296"/>
      <c r="BE78" s="296"/>
      <c r="BF78" s="297"/>
      <c r="BG78" s="297"/>
      <c r="BH78" s="297"/>
      <c r="BI78" s="297"/>
      <c r="BJ78" s="297"/>
      <c r="BK78" s="97"/>
      <c r="BL78" s="97"/>
      <c r="BM78" s="97"/>
      <c r="BN78" s="97"/>
    </row>
    <row r="79" spans="1:66" ht="12.75">
      <c r="A79" s="8"/>
      <c r="B79" s="8"/>
      <c r="C79" s="8"/>
      <c r="D79" s="299"/>
      <c r="E79" s="299"/>
      <c r="F79" s="299"/>
      <c r="G79" s="299"/>
      <c r="H79" s="299"/>
      <c r="I79" s="299"/>
      <c r="J79" s="299"/>
      <c r="K79" s="299"/>
      <c r="L79" s="299"/>
      <c r="M79" s="299"/>
      <c r="N79" s="299"/>
      <c r="O79" s="299"/>
      <c r="P79" s="300"/>
      <c r="Q79" s="299"/>
      <c r="R79" s="299"/>
      <c r="S79" s="299"/>
      <c r="T79" s="299"/>
      <c r="U79" s="299"/>
      <c r="V79" s="299"/>
      <c r="W79" s="299"/>
      <c r="X79" s="299"/>
      <c r="Y79" s="299"/>
      <c r="Z79" s="299"/>
      <c r="AA79" s="299"/>
      <c r="AB79" s="299"/>
      <c r="AC79" s="299"/>
      <c r="AD79" s="295"/>
      <c r="AE79" s="301"/>
      <c r="AF79" s="301"/>
      <c r="AG79" s="295"/>
      <c r="AH79" s="295"/>
      <c r="AI79" s="301"/>
      <c r="AJ79" s="301"/>
      <c r="AK79" s="301"/>
      <c r="AL79" s="301"/>
      <c r="AM79" s="301"/>
      <c r="AN79" s="301"/>
      <c r="AO79" s="295"/>
      <c r="AP79" s="296"/>
      <c r="AQ79" s="301"/>
      <c r="AR79" s="301"/>
      <c r="AS79" s="295"/>
      <c r="AT79" s="295"/>
      <c r="AU79" s="295"/>
      <c r="AV79" s="295"/>
      <c r="AW79" s="295"/>
      <c r="AX79" s="295"/>
      <c r="AY79" s="295"/>
      <c r="AZ79" s="295"/>
      <c r="BA79" s="301"/>
      <c r="BB79" s="301"/>
      <c r="BC79" s="301"/>
      <c r="BD79" s="296"/>
      <c r="BE79" s="296"/>
      <c r="BF79" s="297"/>
      <c r="BG79" s="297"/>
      <c r="BH79" s="297"/>
      <c r="BI79" s="297"/>
      <c r="BJ79" s="297"/>
      <c r="BK79" s="97"/>
      <c r="BL79" s="97"/>
      <c r="BM79" s="97"/>
      <c r="BN79" s="97"/>
    </row>
    <row r="80" spans="1:66" ht="12.75">
      <c r="A80" s="8"/>
      <c r="B80" s="8"/>
      <c r="C80" s="8"/>
      <c r="D80" s="299"/>
      <c r="E80" s="299"/>
      <c r="F80" s="299"/>
      <c r="G80" s="299"/>
      <c r="H80" s="299"/>
      <c r="I80" s="299"/>
      <c r="J80" s="299"/>
      <c r="K80" s="299"/>
      <c r="L80" s="299"/>
      <c r="M80" s="299"/>
      <c r="N80" s="299"/>
      <c r="O80" s="299"/>
      <c r="P80" s="300"/>
      <c r="Q80" s="299"/>
      <c r="R80" s="299"/>
      <c r="S80" s="299"/>
      <c r="T80" s="299"/>
      <c r="U80" s="299"/>
      <c r="V80" s="299"/>
      <c r="W80" s="299"/>
      <c r="X80" s="299"/>
      <c r="Y80" s="299"/>
      <c r="Z80" s="299"/>
      <c r="AA80" s="299"/>
      <c r="AB80" s="299"/>
      <c r="AC80" s="299"/>
      <c r="AD80" s="295"/>
      <c r="AE80" s="301"/>
      <c r="AF80" s="301"/>
      <c r="AG80" s="295"/>
      <c r="AH80" s="295"/>
      <c r="AI80" s="301"/>
      <c r="AJ80" s="301"/>
      <c r="AK80" s="301"/>
      <c r="AL80" s="301"/>
      <c r="AM80" s="301"/>
      <c r="AN80" s="301"/>
      <c r="AO80" s="295"/>
      <c r="AP80" s="296"/>
      <c r="AQ80" s="301"/>
      <c r="AR80" s="301"/>
      <c r="AS80" s="295"/>
      <c r="AT80" s="295"/>
      <c r="AU80" s="295"/>
      <c r="AV80" s="295"/>
      <c r="AW80" s="295"/>
      <c r="AX80" s="295"/>
      <c r="AY80" s="295"/>
      <c r="AZ80" s="295"/>
      <c r="BA80" s="301"/>
      <c r="BB80" s="301"/>
      <c r="BC80" s="301"/>
      <c r="BD80" s="296"/>
      <c r="BE80" s="296"/>
      <c r="BF80" s="297"/>
      <c r="BG80" s="297"/>
      <c r="BH80" s="297"/>
      <c r="BI80" s="297"/>
      <c r="BJ80" s="297"/>
      <c r="BK80" s="97"/>
      <c r="BL80" s="97"/>
      <c r="BM80" s="97"/>
      <c r="BN80" s="97"/>
    </row>
    <row r="81" spans="1:66" ht="12.75">
      <c r="A81" s="8"/>
      <c r="B81" s="8"/>
      <c r="C81" s="8"/>
      <c r="D81" s="299"/>
      <c r="E81" s="299"/>
      <c r="F81" s="299"/>
      <c r="G81" s="299"/>
      <c r="H81" s="299"/>
      <c r="I81" s="299"/>
      <c r="J81" s="299"/>
      <c r="K81" s="299"/>
      <c r="L81" s="299"/>
      <c r="M81" s="299"/>
      <c r="N81" s="299"/>
      <c r="O81" s="299"/>
      <c r="P81" s="300"/>
      <c r="Q81" s="299"/>
      <c r="R81" s="299"/>
      <c r="S81" s="299"/>
      <c r="T81" s="299"/>
      <c r="U81" s="299"/>
      <c r="V81" s="299"/>
      <c r="W81" s="299"/>
      <c r="X81" s="299"/>
      <c r="Y81" s="299"/>
      <c r="Z81" s="299"/>
      <c r="AA81" s="299"/>
      <c r="AB81" s="299"/>
      <c r="AC81" s="299"/>
      <c r="AD81" s="295"/>
      <c r="AE81" s="301"/>
      <c r="AF81" s="301"/>
      <c r="AG81" s="295"/>
      <c r="AH81" s="295"/>
      <c r="AI81" s="301"/>
      <c r="AJ81" s="301"/>
      <c r="AK81" s="301"/>
      <c r="AL81" s="301"/>
      <c r="AM81" s="301"/>
      <c r="AN81" s="301"/>
      <c r="AO81" s="295"/>
      <c r="AP81" s="296"/>
      <c r="AQ81" s="301"/>
      <c r="AR81" s="301"/>
      <c r="AS81" s="295"/>
      <c r="AT81" s="295"/>
      <c r="AU81" s="295"/>
      <c r="AV81" s="295"/>
      <c r="AW81" s="295"/>
      <c r="AX81" s="295"/>
      <c r="AY81" s="295"/>
      <c r="AZ81" s="295"/>
      <c r="BA81" s="301"/>
      <c r="BB81" s="301"/>
      <c r="BC81" s="301"/>
      <c r="BD81" s="296"/>
      <c r="BE81" s="296"/>
      <c r="BF81" s="297"/>
      <c r="BG81" s="297"/>
      <c r="BH81" s="297"/>
      <c r="BI81" s="297"/>
      <c r="BJ81" s="297"/>
      <c r="BK81" s="97"/>
      <c r="BL81" s="97"/>
      <c r="BM81" s="97"/>
      <c r="BN81" s="97"/>
    </row>
    <row r="82" spans="1:66" ht="12.75">
      <c r="A82" s="8"/>
      <c r="B82" s="8"/>
      <c r="C82" s="8"/>
      <c r="D82" s="299"/>
      <c r="E82" s="299"/>
      <c r="F82" s="299"/>
      <c r="G82" s="299"/>
      <c r="H82" s="299"/>
      <c r="I82" s="299"/>
      <c r="J82" s="299"/>
      <c r="K82" s="299"/>
      <c r="L82" s="299"/>
      <c r="M82" s="299"/>
      <c r="N82" s="299"/>
      <c r="O82" s="299"/>
      <c r="P82" s="300"/>
      <c r="Q82" s="299"/>
      <c r="R82" s="299"/>
      <c r="S82" s="299"/>
      <c r="T82" s="299"/>
      <c r="U82" s="299"/>
      <c r="V82" s="299"/>
      <c r="W82" s="299"/>
      <c r="X82" s="299"/>
      <c r="Y82" s="299"/>
      <c r="Z82" s="299"/>
      <c r="AA82" s="299"/>
      <c r="AB82" s="299"/>
      <c r="AC82" s="299"/>
      <c r="AD82" s="295"/>
      <c r="AE82" s="301"/>
      <c r="AF82" s="301"/>
      <c r="AG82" s="295"/>
      <c r="AH82" s="295"/>
      <c r="AI82" s="301"/>
      <c r="AJ82" s="301"/>
      <c r="AK82" s="301"/>
      <c r="AL82" s="301"/>
      <c r="AM82" s="301"/>
      <c r="AN82" s="301"/>
      <c r="AO82" s="295"/>
      <c r="AP82" s="296"/>
      <c r="AQ82" s="301"/>
      <c r="AR82" s="301"/>
      <c r="AS82" s="295"/>
      <c r="AT82" s="295"/>
      <c r="AU82" s="295"/>
      <c r="AV82" s="295"/>
      <c r="AW82" s="295"/>
      <c r="AX82" s="295"/>
      <c r="AY82" s="295"/>
      <c r="AZ82" s="295"/>
      <c r="BA82" s="301"/>
      <c r="BB82" s="301"/>
      <c r="BC82" s="301"/>
      <c r="BD82" s="296"/>
      <c r="BE82" s="296"/>
      <c r="BF82" s="297"/>
      <c r="BG82" s="297"/>
      <c r="BH82" s="297"/>
      <c r="BI82" s="297"/>
      <c r="BJ82" s="297"/>
      <c r="BK82" s="97"/>
      <c r="BL82" s="97"/>
      <c r="BM82" s="97"/>
      <c r="BN82" s="97"/>
    </row>
    <row r="83" spans="1:66" ht="12.75">
      <c r="A83" s="8"/>
      <c r="B83" s="8"/>
      <c r="C83" s="8"/>
      <c r="D83" s="299"/>
      <c r="E83" s="299"/>
      <c r="F83" s="299"/>
      <c r="G83" s="299"/>
      <c r="H83" s="299"/>
      <c r="I83" s="299"/>
      <c r="J83" s="299"/>
      <c r="K83" s="299"/>
      <c r="L83" s="299"/>
      <c r="M83" s="299"/>
      <c r="N83" s="299"/>
      <c r="O83" s="299"/>
      <c r="P83" s="300"/>
      <c r="Q83" s="299"/>
      <c r="R83" s="299"/>
      <c r="S83" s="299"/>
      <c r="T83" s="299"/>
      <c r="U83" s="299"/>
      <c r="V83" s="299"/>
      <c r="W83" s="299"/>
      <c r="X83" s="299"/>
      <c r="Y83" s="299"/>
      <c r="Z83" s="299"/>
      <c r="AA83" s="299"/>
      <c r="AB83" s="299"/>
      <c r="AC83" s="299"/>
      <c r="AD83" s="295"/>
      <c r="AE83" s="301"/>
      <c r="AF83" s="301"/>
      <c r="AG83" s="295"/>
      <c r="AH83" s="295"/>
      <c r="AI83" s="301"/>
      <c r="AJ83" s="301"/>
      <c r="AK83" s="301"/>
      <c r="AL83" s="301"/>
      <c r="AM83" s="301"/>
      <c r="AN83" s="301"/>
      <c r="AO83" s="295"/>
      <c r="AP83" s="296"/>
      <c r="AQ83" s="301"/>
      <c r="AR83" s="301"/>
      <c r="AS83" s="295"/>
      <c r="AT83" s="295"/>
      <c r="AU83" s="295"/>
      <c r="AV83" s="295"/>
      <c r="AW83" s="295"/>
      <c r="AX83" s="295"/>
      <c r="AY83" s="295"/>
      <c r="AZ83" s="295"/>
      <c r="BA83" s="301"/>
      <c r="BB83" s="301"/>
      <c r="BC83" s="301"/>
      <c r="BD83" s="296"/>
      <c r="BE83" s="296"/>
      <c r="BF83" s="297"/>
      <c r="BG83" s="297"/>
      <c r="BH83" s="297"/>
      <c r="BI83" s="297"/>
      <c r="BJ83" s="297"/>
      <c r="BK83" s="97"/>
      <c r="BL83" s="97"/>
      <c r="BM83" s="97"/>
      <c r="BN83" s="97"/>
    </row>
    <row r="84" spans="1:66" ht="12.75">
      <c r="A84" s="8"/>
      <c r="B84" s="8"/>
      <c r="C84" s="8"/>
      <c r="D84" s="299"/>
      <c r="E84" s="299"/>
      <c r="F84" s="299"/>
      <c r="G84" s="299"/>
      <c r="H84" s="299"/>
      <c r="I84" s="299"/>
      <c r="J84" s="299"/>
      <c r="K84" s="299"/>
      <c r="L84" s="299"/>
      <c r="M84" s="299"/>
      <c r="N84" s="299"/>
      <c r="O84" s="299"/>
      <c r="P84" s="300"/>
      <c r="Q84" s="299"/>
      <c r="R84" s="299"/>
      <c r="S84" s="299"/>
      <c r="T84" s="299"/>
      <c r="U84" s="299"/>
      <c r="V84" s="299"/>
      <c r="W84" s="299"/>
      <c r="X84" s="299"/>
      <c r="Y84" s="299"/>
      <c r="Z84" s="299"/>
      <c r="AA84" s="299"/>
      <c r="AB84" s="299"/>
      <c r="AC84" s="299"/>
      <c r="AD84" s="295"/>
      <c r="AE84" s="301"/>
      <c r="AF84" s="301"/>
      <c r="AG84" s="295"/>
      <c r="AH84" s="295"/>
      <c r="AI84" s="301"/>
      <c r="AJ84" s="301"/>
      <c r="AK84" s="301"/>
      <c r="AL84" s="301"/>
      <c r="AM84" s="301"/>
      <c r="AN84" s="301"/>
      <c r="AO84" s="295"/>
      <c r="AP84" s="296"/>
      <c r="AQ84" s="301"/>
      <c r="AR84" s="301"/>
      <c r="AS84" s="295"/>
      <c r="AT84" s="295"/>
      <c r="AU84" s="295"/>
      <c r="AV84" s="295"/>
      <c r="AW84" s="295"/>
      <c r="AX84" s="295"/>
      <c r="AY84" s="295"/>
      <c r="AZ84" s="295"/>
      <c r="BA84" s="301"/>
      <c r="BB84" s="301"/>
      <c r="BC84" s="301"/>
      <c r="BD84" s="296"/>
      <c r="BE84" s="296"/>
      <c r="BF84" s="297"/>
      <c r="BG84" s="297"/>
      <c r="BH84" s="297"/>
      <c r="BI84" s="297"/>
      <c r="BJ84" s="297"/>
      <c r="BK84" s="97"/>
      <c r="BL84" s="97"/>
      <c r="BM84" s="97"/>
      <c r="BN84" s="97"/>
    </row>
    <row r="85" spans="1:66" ht="12.75">
      <c r="A85" s="8"/>
      <c r="B85" s="8"/>
      <c r="C85" s="8"/>
      <c r="D85" s="299"/>
      <c r="E85" s="299"/>
      <c r="F85" s="299"/>
      <c r="G85" s="299"/>
      <c r="H85" s="299"/>
      <c r="I85" s="299"/>
      <c r="J85" s="299"/>
      <c r="K85" s="299"/>
      <c r="L85" s="299"/>
      <c r="M85" s="299"/>
      <c r="N85" s="299"/>
      <c r="O85" s="299"/>
      <c r="P85" s="300"/>
      <c r="Q85" s="299"/>
      <c r="R85" s="299"/>
      <c r="S85" s="299"/>
      <c r="T85" s="299"/>
      <c r="U85" s="299"/>
      <c r="V85" s="299"/>
      <c r="W85" s="299"/>
      <c r="X85" s="299"/>
      <c r="Y85" s="299"/>
      <c r="Z85" s="299"/>
      <c r="AA85" s="299"/>
      <c r="AB85" s="299"/>
      <c r="AC85" s="299"/>
      <c r="AD85" s="295"/>
      <c r="AE85" s="301"/>
      <c r="AF85" s="301"/>
      <c r="AG85" s="295"/>
      <c r="AH85" s="295"/>
      <c r="AI85" s="301"/>
      <c r="AJ85" s="301"/>
      <c r="AK85" s="301"/>
      <c r="AL85" s="301"/>
      <c r="AM85" s="301"/>
      <c r="AN85" s="301"/>
      <c r="AO85" s="295"/>
      <c r="AP85" s="296"/>
      <c r="AQ85" s="301"/>
      <c r="AR85" s="301"/>
      <c r="AS85" s="295"/>
      <c r="AT85" s="295"/>
      <c r="AU85" s="295"/>
      <c r="AV85" s="295"/>
      <c r="AW85" s="295"/>
      <c r="AX85" s="295"/>
      <c r="AY85" s="295"/>
      <c r="AZ85" s="295"/>
      <c r="BA85" s="301"/>
      <c r="BB85" s="301"/>
      <c r="BC85" s="301"/>
      <c r="BD85" s="296"/>
      <c r="BE85" s="296"/>
      <c r="BF85" s="297"/>
      <c r="BG85" s="297"/>
      <c r="BH85" s="297"/>
      <c r="BI85" s="297"/>
      <c r="BJ85" s="297"/>
      <c r="BK85" s="97"/>
      <c r="BL85" s="97"/>
      <c r="BM85" s="97"/>
      <c r="BN85" s="97"/>
    </row>
    <row r="86" spans="1:66" ht="12.75">
      <c r="A86" s="8"/>
      <c r="B86" s="8"/>
      <c r="C86" s="8"/>
      <c r="D86" s="299"/>
      <c r="E86" s="299"/>
      <c r="F86" s="299"/>
      <c r="G86" s="299"/>
      <c r="H86" s="299"/>
      <c r="I86" s="299"/>
      <c r="J86" s="299"/>
      <c r="K86" s="299"/>
      <c r="L86" s="299"/>
      <c r="M86" s="299"/>
      <c r="N86" s="299"/>
      <c r="O86" s="299"/>
      <c r="P86" s="300"/>
      <c r="Q86" s="299"/>
      <c r="R86" s="299"/>
      <c r="S86" s="299"/>
      <c r="T86" s="299"/>
      <c r="U86" s="299"/>
      <c r="V86" s="299"/>
      <c r="W86" s="299"/>
      <c r="X86" s="299"/>
      <c r="Y86" s="299"/>
      <c r="Z86" s="299"/>
      <c r="AA86" s="299"/>
      <c r="AB86" s="299"/>
      <c r="AC86" s="299"/>
      <c r="AD86" s="295"/>
      <c r="AE86" s="301"/>
      <c r="AF86" s="301"/>
      <c r="AG86" s="295"/>
      <c r="AH86" s="295"/>
      <c r="AI86" s="301"/>
      <c r="AJ86" s="301"/>
      <c r="AK86" s="301"/>
      <c r="AL86" s="301"/>
      <c r="AM86" s="301"/>
      <c r="AN86" s="301"/>
      <c r="AO86" s="295"/>
      <c r="AP86" s="296"/>
      <c r="AQ86" s="301"/>
      <c r="AR86" s="301"/>
      <c r="AS86" s="295"/>
      <c r="AT86" s="295"/>
      <c r="AU86" s="295"/>
      <c r="AV86" s="295"/>
      <c r="AW86" s="295"/>
      <c r="AX86" s="295"/>
      <c r="AY86" s="295"/>
      <c r="AZ86" s="295"/>
      <c r="BA86" s="301"/>
      <c r="BB86" s="301"/>
      <c r="BC86" s="301"/>
      <c r="BD86" s="296"/>
      <c r="BE86" s="296"/>
      <c r="BF86" s="297"/>
      <c r="BG86" s="297"/>
      <c r="BH86" s="297"/>
      <c r="BI86" s="297"/>
      <c r="BJ86" s="297"/>
      <c r="BK86" s="97"/>
      <c r="BL86" s="97"/>
      <c r="BM86" s="97"/>
      <c r="BN86" s="97"/>
    </row>
    <row r="87" spans="1:66" ht="12.75">
      <c r="A87" s="8"/>
      <c r="B87" s="8"/>
      <c r="C87" s="8"/>
      <c r="D87" s="299"/>
      <c r="E87" s="299"/>
      <c r="F87" s="299"/>
      <c r="G87" s="299"/>
      <c r="H87" s="299"/>
      <c r="I87" s="299"/>
      <c r="J87" s="299"/>
      <c r="K87" s="299"/>
      <c r="L87" s="299"/>
      <c r="M87" s="299"/>
      <c r="N87" s="299"/>
      <c r="O87" s="299"/>
      <c r="P87" s="300"/>
      <c r="Q87" s="299"/>
      <c r="R87" s="299"/>
      <c r="S87" s="299"/>
      <c r="T87" s="299"/>
      <c r="U87" s="299"/>
      <c r="V87" s="299"/>
      <c r="W87" s="299"/>
      <c r="X87" s="299"/>
      <c r="Y87" s="299"/>
      <c r="Z87" s="299"/>
      <c r="AA87" s="299"/>
      <c r="AB87" s="299"/>
      <c r="AC87" s="299"/>
      <c r="AD87" s="295"/>
      <c r="AE87" s="301"/>
      <c r="AF87" s="301"/>
      <c r="AG87" s="295"/>
      <c r="AH87" s="295"/>
      <c r="AI87" s="301"/>
      <c r="AJ87" s="301"/>
      <c r="AK87" s="301"/>
      <c r="AL87" s="301"/>
      <c r="AM87" s="301"/>
      <c r="AN87" s="301"/>
      <c r="AO87" s="295"/>
      <c r="AP87" s="296"/>
      <c r="AQ87" s="301"/>
      <c r="AR87" s="301"/>
      <c r="AS87" s="295"/>
      <c r="AT87" s="295"/>
      <c r="AU87" s="295"/>
      <c r="AV87" s="295"/>
      <c r="AW87" s="295"/>
      <c r="AX87" s="295"/>
      <c r="AY87" s="295"/>
      <c r="AZ87" s="295"/>
      <c r="BA87" s="301"/>
      <c r="BB87" s="301"/>
      <c r="BC87" s="301"/>
      <c r="BD87" s="296"/>
      <c r="BE87" s="296"/>
      <c r="BF87" s="297"/>
      <c r="BG87" s="297"/>
      <c r="BH87" s="297"/>
      <c r="BI87" s="297"/>
      <c r="BJ87" s="297"/>
      <c r="BK87" s="97"/>
      <c r="BL87" s="97"/>
      <c r="BM87" s="97"/>
      <c r="BN87" s="97"/>
    </row>
    <row r="88" spans="1:66" ht="12.75">
      <c r="A88" s="8"/>
      <c r="B88" s="8"/>
      <c r="C88" s="8"/>
      <c r="D88" s="299"/>
      <c r="E88" s="299"/>
      <c r="F88" s="299"/>
      <c r="G88" s="299"/>
      <c r="H88" s="299"/>
      <c r="I88" s="299"/>
      <c r="J88" s="299"/>
      <c r="K88" s="299"/>
      <c r="L88" s="299"/>
      <c r="M88" s="299"/>
      <c r="N88" s="299"/>
      <c r="O88" s="299"/>
      <c r="P88" s="300"/>
      <c r="Q88" s="299"/>
      <c r="R88" s="299"/>
      <c r="S88" s="299"/>
      <c r="T88" s="299"/>
      <c r="U88" s="299"/>
      <c r="V88" s="299"/>
      <c r="W88" s="299"/>
      <c r="X88" s="299"/>
      <c r="Y88" s="299"/>
      <c r="Z88" s="299"/>
      <c r="AA88" s="299"/>
      <c r="AB88" s="299"/>
      <c r="AC88" s="299"/>
      <c r="AD88" s="295"/>
      <c r="AE88" s="301"/>
      <c r="AF88" s="301"/>
      <c r="AG88" s="295"/>
      <c r="AH88" s="295"/>
      <c r="AI88" s="301"/>
      <c r="AJ88" s="301"/>
      <c r="AK88" s="301"/>
      <c r="AL88" s="301"/>
      <c r="AM88" s="301"/>
      <c r="AN88" s="301"/>
      <c r="AO88" s="295"/>
      <c r="AP88" s="296"/>
      <c r="AQ88" s="301"/>
      <c r="AR88" s="301"/>
      <c r="AS88" s="295"/>
      <c r="AT88" s="295"/>
      <c r="AU88" s="295"/>
      <c r="AV88" s="295"/>
      <c r="AW88" s="295"/>
      <c r="AX88" s="295"/>
      <c r="AY88" s="295"/>
      <c r="AZ88" s="295"/>
      <c r="BA88" s="301"/>
      <c r="BB88" s="301"/>
      <c r="BC88" s="301"/>
      <c r="BD88" s="296"/>
      <c r="BE88" s="296"/>
      <c r="BF88" s="297"/>
      <c r="BG88" s="297"/>
      <c r="BH88" s="297"/>
      <c r="BI88" s="297"/>
      <c r="BJ88" s="297"/>
      <c r="BK88" s="97"/>
      <c r="BL88" s="97"/>
      <c r="BM88" s="97"/>
      <c r="BN88" s="97"/>
    </row>
    <row r="89" spans="1:66" ht="12.75">
      <c r="A89" s="8"/>
      <c r="B89" s="8"/>
      <c r="C89" s="8"/>
      <c r="D89" s="299"/>
      <c r="E89" s="299"/>
      <c r="F89" s="299"/>
      <c r="G89" s="299"/>
      <c r="H89" s="299"/>
      <c r="I89" s="299"/>
      <c r="J89" s="299"/>
      <c r="K89" s="299"/>
      <c r="L89" s="299"/>
      <c r="M89" s="299"/>
      <c r="N89" s="299"/>
      <c r="O89" s="299"/>
      <c r="P89" s="300"/>
      <c r="Q89" s="299"/>
      <c r="R89" s="299"/>
      <c r="S89" s="299"/>
      <c r="T89" s="299"/>
      <c r="U89" s="299"/>
      <c r="V89" s="299"/>
      <c r="W89" s="299"/>
      <c r="X89" s="299"/>
      <c r="Y89" s="299"/>
      <c r="Z89" s="299"/>
      <c r="AA89" s="299"/>
      <c r="AB89" s="299"/>
      <c r="AC89" s="299"/>
      <c r="AD89" s="295"/>
      <c r="AE89" s="301"/>
      <c r="AF89" s="301"/>
      <c r="AG89" s="295"/>
      <c r="AH89" s="295"/>
      <c r="AI89" s="301"/>
      <c r="AJ89" s="301"/>
      <c r="AK89" s="301"/>
      <c r="AL89" s="301"/>
      <c r="AM89" s="301"/>
      <c r="AN89" s="301"/>
      <c r="AO89" s="295"/>
      <c r="AP89" s="296"/>
      <c r="AQ89" s="301"/>
      <c r="AR89" s="301"/>
      <c r="AS89" s="295"/>
      <c r="AT89" s="295"/>
      <c r="AU89" s="295"/>
      <c r="AV89" s="295"/>
      <c r="AW89" s="295"/>
      <c r="AX89" s="295"/>
      <c r="AY89" s="295"/>
      <c r="AZ89" s="295"/>
      <c r="BA89" s="301"/>
      <c r="BB89" s="301"/>
      <c r="BC89" s="301"/>
      <c r="BD89" s="296"/>
      <c r="BE89" s="296"/>
      <c r="BF89" s="297"/>
      <c r="BG89" s="297"/>
      <c r="BH89" s="297"/>
      <c r="BI89" s="297"/>
      <c r="BJ89" s="297"/>
      <c r="BK89" s="97"/>
      <c r="BL89" s="97"/>
      <c r="BM89" s="97"/>
      <c r="BN89" s="97"/>
    </row>
    <row r="90" spans="1:66" ht="12.75">
      <c r="A90" s="8"/>
      <c r="B90" s="8"/>
      <c r="C90" s="8"/>
      <c r="D90" s="299"/>
      <c r="E90" s="299"/>
      <c r="F90" s="299"/>
      <c r="G90" s="299"/>
      <c r="H90" s="299"/>
      <c r="I90" s="299"/>
      <c r="J90" s="299"/>
      <c r="K90" s="299"/>
      <c r="L90" s="299"/>
      <c r="M90" s="299"/>
      <c r="N90" s="299"/>
      <c r="O90" s="299"/>
      <c r="P90" s="300"/>
      <c r="Q90" s="299"/>
      <c r="R90" s="299"/>
      <c r="S90" s="299"/>
      <c r="T90" s="299"/>
      <c r="U90" s="299"/>
      <c r="V90" s="299"/>
      <c r="W90" s="299"/>
      <c r="X90" s="299"/>
      <c r="Y90" s="299"/>
      <c r="Z90" s="299"/>
      <c r="AA90" s="299"/>
      <c r="AB90" s="299"/>
      <c r="AC90" s="299"/>
      <c r="AD90" s="295"/>
      <c r="AE90" s="301"/>
      <c r="AF90" s="301"/>
      <c r="AG90" s="295"/>
      <c r="AH90" s="295"/>
      <c r="AI90" s="301"/>
      <c r="AJ90" s="301"/>
      <c r="AK90" s="301"/>
      <c r="AL90" s="301"/>
      <c r="AM90" s="301"/>
      <c r="AN90" s="301"/>
      <c r="AO90" s="295"/>
      <c r="AP90" s="296"/>
      <c r="AQ90" s="301"/>
      <c r="AR90" s="301"/>
      <c r="AS90" s="295"/>
      <c r="AT90" s="295"/>
      <c r="AU90" s="295"/>
      <c r="AV90" s="295"/>
      <c r="AW90" s="295"/>
      <c r="AX90" s="295"/>
      <c r="AY90" s="295"/>
      <c r="AZ90" s="295"/>
      <c r="BA90" s="301"/>
      <c r="BB90" s="301"/>
      <c r="BC90" s="301"/>
      <c r="BD90" s="296"/>
      <c r="BE90" s="296"/>
      <c r="BF90" s="297"/>
      <c r="BG90" s="297"/>
      <c r="BH90" s="297"/>
      <c r="BI90" s="297"/>
      <c r="BJ90" s="297"/>
      <c r="BK90" s="97"/>
      <c r="BL90" s="97"/>
      <c r="BM90" s="97"/>
      <c r="BN90" s="97"/>
    </row>
    <row r="91" spans="1:66" ht="12.75">
      <c r="A91" s="8"/>
      <c r="B91" s="8"/>
      <c r="C91" s="8"/>
      <c r="D91" s="299"/>
      <c r="E91" s="299"/>
      <c r="F91" s="299"/>
      <c r="G91" s="299"/>
      <c r="H91" s="299"/>
      <c r="I91" s="299"/>
      <c r="J91" s="299"/>
      <c r="K91" s="299"/>
      <c r="L91" s="299"/>
      <c r="M91" s="299"/>
      <c r="N91" s="299"/>
      <c r="O91" s="299"/>
      <c r="P91" s="300"/>
      <c r="Q91" s="299"/>
      <c r="R91" s="299"/>
      <c r="S91" s="299"/>
      <c r="T91" s="299"/>
      <c r="U91" s="299"/>
      <c r="V91" s="299"/>
      <c r="W91" s="299"/>
      <c r="X91" s="299"/>
      <c r="Y91" s="299"/>
      <c r="Z91" s="299"/>
      <c r="AA91" s="299"/>
      <c r="AB91" s="299"/>
      <c r="AC91" s="299"/>
      <c r="AD91" s="295"/>
      <c r="AE91" s="301"/>
      <c r="AF91" s="301"/>
      <c r="AG91" s="295"/>
      <c r="AH91" s="295"/>
      <c r="AI91" s="301"/>
      <c r="AJ91" s="301"/>
      <c r="AK91" s="301"/>
      <c r="AL91" s="301"/>
      <c r="AM91" s="301"/>
      <c r="AN91" s="301"/>
      <c r="AO91" s="295"/>
      <c r="AP91" s="296"/>
      <c r="AQ91" s="301"/>
      <c r="AR91" s="301"/>
      <c r="AS91" s="295"/>
      <c r="AT91" s="295"/>
      <c r="AU91" s="295"/>
      <c r="AV91" s="295"/>
      <c r="AW91" s="295"/>
      <c r="AX91" s="295"/>
      <c r="AY91" s="295"/>
      <c r="AZ91" s="295"/>
      <c r="BA91" s="301"/>
      <c r="BB91" s="301"/>
      <c r="BC91" s="301"/>
      <c r="BD91" s="296"/>
      <c r="BE91" s="296"/>
      <c r="BF91" s="297"/>
      <c r="BG91" s="297"/>
      <c r="BH91" s="297"/>
      <c r="BI91" s="297"/>
      <c r="BJ91" s="297"/>
      <c r="BK91" s="97"/>
      <c r="BL91" s="97"/>
      <c r="BM91" s="97"/>
      <c r="BN91" s="97"/>
    </row>
    <row r="92" spans="1:66" ht="12.75">
      <c r="A92" s="8"/>
      <c r="B92" s="8"/>
      <c r="C92" s="8"/>
      <c r="D92" s="299"/>
      <c r="E92" s="299"/>
      <c r="F92" s="299"/>
      <c r="G92" s="299"/>
      <c r="H92" s="299"/>
      <c r="I92" s="299"/>
      <c r="J92" s="299"/>
      <c r="K92" s="299"/>
      <c r="L92" s="299"/>
      <c r="M92" s="299"/>
      <c r="N92" s="299"/>
      <c r="O92" s="299"/>
      <c r="P92" s="300"/>
      <c r="Q92" s="299"/>
      <c r="R92" s="299"/>
      <c r="S92" s="299"/>
      <c r="T92" s="299"/>
      <c r="U92" s="299"/>
      <c r="V92" s="299"/>
      <c r="W92" s="299"/>
      <c r="X92" s="299"/>
      <c r="Y92" s="299"/>
      <c r="Z92" s="299"/>
      <c r="AA92" s="299"/>
      <c r="AB92" s="299"/>
      <c r="AC92" s="299"/>
      <c r="AD92" s="295"/>
      <c r="AE92" s="301"/>
      <c r="AF92" s="301"/>
      <c r="AG92" s="295"/>
      <c r="AH92" s="295"/>
      <c r="AI92" s="301"/>
      <c r="AJ92" s="301"/>
      <c r="AK92" s="301"/>
      <c r="AL92" s="301"/>
      <c r="AM92" s="301"/>
      <c r="AN92" s="301"/>
      <c r="AO92" s="295"/>
      <c r="AP92" s="296"/>
      <c r="AQ92" s="301"/>
      <c r="AR92" s="301"/>
      <c r="AS92" s="295"/>
      <c r="AT92" s="295"/>
      <c r="AU92" s="295"/>
      <c r="AV92" s="295"/>
      <c r="AW92" s="295"/>
      <c r="AX92" s="295"/>
      <c r="AY92" s="295"/>
      <c r="AZ92" s="295"/>
      <c r="BA92" s="301"/>
      <c r="BB92" s="301"/>
      <c r="BC92" s="301"/>
      <c r="BD92" s="296"/>
      <c r="BE92" s="296"/>
      <c r="BF92" s="297"/>
      <c r="BG92" s="297"/>
      <c r="BH92" s="297"/>
      <c r="BI92" s="297"/>
      <c r="BJ92" s="297"/>
      <c r="BK92" s="97"/>
      <c r="BL92" s="97"/>
      <c r="BM92" s="97"/>
      <c r="BN92" s="97"/>
    </row>
    <row r="93" spans="1:66" ht="12.75">
      <c r="A93" s="8"/>
      <c r="B93" s="8"/>
      <c r="C93" s="8"/>
      <c r="D93" s="299"/>
      <c r="E93" s="299"/>
      <c r="F93" s="299"/>
      <c r="G93" s="299"/>
      <c r="H93" s="299"/>
      <c r="I93" s="299"/>
      <c r="J93" s="299"/>
      <c r="K93" s="299"/>
      <c r="L93" s="299"/>
      <c r="M93" s="299"/>
      <c r="N93" s="299"/>
      <c r="O93" s="299"/>
      <c r="P93" s="300"/>
      <c r="Q93" s="299"/>
      <c r="R93" s="299"/>
      <c r="S93" s="299"/>
      <c r="T93" s="299"/>
      <c r="U93" s="299"/>
      <c r="V93" s="299"/>
      <c r="W93" s="299"/>
      <c r="X93" s="299"/>
      <c r="Y93" s="299"/>
      <c r="Z93" s="299"/>
      <c r="AA93" s="299"/>
      <c r="AB93" s="299"/>
      <c r="AC93" s="299"/>
      <c r="AD93" s="295"/>
      <c r="AE93" s="301"/>
      <c r="AF93" s="301"/>
      <c r="AG93" s="295"/>
      <c r="AH93" s="295"/>
      <c r="AI93" s="301"/>
      <c r="AJ93" s="301"/>
      <c r="AK93" s="301"/>
      <c r="AL93" s="301"/>
      <c r="AM93" s="301"/>
      <c r="AN93" s="301"/>
      <c r="AO93" s="295"/>
      <c r="AP93" s="296"/>
      <c r="AQ93" s="301"/>
      <c r="AR93" s="301"/>
      <c r="AS93" s="295"/>
      <c r="AT93" s="295"/>
      <c r="AU93" s="295"/>
      <c r="AV93" s="295"/>
      <c r="AW93" s="295"/>
      <c r="AX93" s="295"/>
      <c r="AY93" s="295"/>
      <c r="AZ93" s="295"/>
      <c r="BA93" s="301"/>
      <c r="BB93" s="301"/>
      <c r="BC93" s="301"/>
      <c r="BD93" s="296"/>
      <c r="BE93" s="296"/>
      <c r="BF93" s="297"/>
      <c r="BG93" s="297"/>
      <c r="BH93" s="297"/>
      <c r="BI93" s="297"/>
      <c r="BJ93" s="297"/>
      <c r="BK93" s="97"/>
      <c r="BL93" s="97"/>
      <c r="BM93" s="97"/>
      <c r="BN93" s="97"/>
    </row>
    <row r="94" spans="1:66" ht="12.75">
      <c r="A94" s="8"/>
      <c r="B94" s="8"/>
      <c r="C94" s="8"/>
      <c r="D94" s="299"/>
      <c r="E94" s="299"/>
      <c r="F94" s="299"/>
      <c r="G94" s="299"/>
      <c r="H94" s="299"/>
      <c r="I94" s="299"/>
      <c r="J94" s="299"/>
      <c r="K94" s="299"/>
      <c r="L94" s="299"/>
      <c r="M94" s="299"/>
      <c r="N94" s="299"/>
      <c r="O94" s="299"/>
      <c r="P94" s="300"/>
      <c r="Q94" s="299"/>
      <c r="R94" s="299"/>
      <c r="S94" s="299"/>
      <c r="T94" s="299"/>
      <c r="U94" s="299"/>
      <c r="V94" s="299"/>
      <c r="W94" s="299"/>
      <c r="X94" s="299"/>
      <c r="Y94" s="299"/>
      <c r="Z94" s="299"/>
      <c r="AA94" s="299"/>
      <c r="AB94" s="299"/>
      <c r="AC94" s="299"/>
      <c r="AD94" s="295"/>
      <c r="AE94" s="301"/>
      <c r="AF94" s="301"/>
      <c r="AG94" s="295"/>
      <c r="AH94" s="295"/>
      <c r="AI94" s="301"/>
      <c r="AJ94" s="301"/>
      <c r="AK94" s="301"/>
      <c r="AL94" s="301"/>
      <c r="AM94" s="301"/>
      <c r="AN94" s="301"/>
      <c r="AO94" s="295"/>
      <c r="AP94" s="296"/>
      <c r="AQ94" s="301"/>
      <c r="AR94" s="301"/>
      <c r="AS94" s="295"/>
      <c r="AT94" s="295"/>
      <c r="AU94" s="295"/>
      <c r="AV94" s="295"/>
      <c r="AW94" s="295"/>
      <c r="AX94" s="295"/>
      <c r="AY94" s="295"/>
      <c r="AZ94" s="295"/>
      <c r="BA94" s="301"/>
      <c r="BB94" s="301"/>
      <c r="BC94" s="301"/>
      <c r="BD94" s="296"/>
      <c r="BE94" s="296"/>
      <c r="BF94" s="297"/>
      <c r="BG94" s="297"/>
      <c r="BH94" s="297"/>
      <c r="BI94" s="297"/>
      <c r="BJ94" s="297"/>
      <c r="BK94" s="97"/>
      <c r="BL94" s="97"/>
      <c r="BM94" s="97"/>
      <c r="BN94" s="97"/>
    </row>
    <row r="95" spans="1:66" ht="12.75">
      <c r="A95" s="8"/>
      <c r="B95" s="8"/>
      <c r="C95" s="8"/>
      <c r="D95" s="299"/>
      <c r="E95" s="299"/>
      <c r="F95" s="299"/>
      <c r="G95" s="299"/>
      <c r="H95" s="299"/>
      <c r="I95" s="299"/>
      <c r="J95" s="299"/>
      <c r="K95" s="299"/>
      <c r="L95" s="299"/>
      <c r="M95" s="299"/>
      <c r="N95" s="299"/>
      <c r="O95" s="299"/>
      <c r="P95" s="300"/>
      <c r="Q95" s="299"/>
      <c r="R95" s="299"/>
      <c r="S95" s="299"/>
      <c r="T95" s="299"/>
      <c r="U95" s="299"/>
      <c r="V95" s="299"/>
      <c r="W95" s="299"/>
      <c r="X95" s="299"/>
      <c r="Y95" s="299"/>
      <c r="Z95" s="299"/>
      <c r="AA95" s="299"/>
      <c r="AB95" s="299"/>
      <c r="AC95" s="299"/>
      <c r="AD95" s="295"/>
      <c r="AE95" s="301"/>
      <c r="AF95" s="301"/>
      <c r="AG95" s="295"/>
      <c r="AH95" s="295"/>
      <c r="AI95" s="301"/>
      <c r="AJ95" s="301"/>
      <c r="AK95" s="301"/>
      <c r="AL95" s="301"/>
      <c r="AM95" s="301"/>
      <c r="AN95" s="301"/>
      <c r="AO95" s="295"/>
      <c r="AP95" s="296"/>
      <c r="AQ95" s="301"/>
      <c r="AR95" s="301"/>
      <c r="AS95" s="295"/>
      <c r="AT95" s="295"/>
      <c r="AU95" s="295"/>
      <c r="AV95" s="295"/>
      <c r="AW95" s="295"/>
      <c r="AX95" s="295"/>
      <c r="AY95" s="295"/>
      <c r="AZ95" s="295"/>
      <c r="BA95" s="301"/>
      <c r="BB95" s="301"/>
      <c r="BC95" s="301"/>
      <c r="BD95" s="296"/>
      <c r="BE95" s="296"/>
      <c r="BF95" s="297"/>
      <c r="BG95" s="297"/>
      <c r="BH95" s="297"/>
      <c r="BI95" s="297"/>
      <c r="BJ95" s="297"/>
      <c r="BK95" s="97"/>
      <c r="BL95" s="97"/>
      <c r="BM95" s="97"/>
      <c r="BN95" s="97"/>
    </row>
    <row r="96" spans="1:66" ht="12.75">
      <c r="A96" s="8"/>
      <c r="B96" s="8"/>
      <c r="C96" s="8"/>
      <c r="D96" s="299"/>
      <c r="E96" s="299"/>
      <c r="F96" s="299"/>
      <c r="G96" s="299"/>
      <c r="H96" s="299"/>
      <c r="I96" s="299"/>
      <c r="J96" s="299"/>
      <c r="K96" s="299"/>
      <c r="L96" s="299"/>
      <c r="M96" s="299"/>
      <c r="N96" s="299"/>
      <c r="O96" s="299"/>
      <c r="P96" s="300"/>
      <c r="Q96" s="299"/>
      <c r="R96" s="299"/>
      <c r="S96" s="299"/>
      <c r="T96" s="299"/>
      <c r="U96" s="299"/>
      <c r="V96" s="299"/>
      <c r="W96" s="299"/>
      <c r="X96" s="299"/>
      <c r="Y96" s="299"/>
      <c r="Z96" s="299"/>
      <c r="AA96" s="299"/>
      <c r="AB96" s="299"/>
      <c r="AC96" s="299"/>
      <c r="AD96" s="295"/>
      <c r="AE96" s="301"/>
      <c r="AF96" s="301"/>
      <c r="AG96" s="295"/>
      <c r="AH96" s="295"/>
      <c r="AI96" s="301"/>
      <c r="AJ96" s="301"/>
      <c r="AK96" s="301"/>
      <c r="AL96" s="301"/>
      <c r="AM96" s="301"/>
      <c r="AN96" s="301"/>
      <c r="AO96" s="295"/>
      <c r="AP96" s="296"/>
      <c r="AQ96" s="301"/>
      <c r="AR96" s="301"/>
      <c r="AS96" s="295"/>
      <c r="AT96" s="295"/>
      <c r="AU96" s="295"/>
      <c r="AV96" s="295"/>
      <c r="AW96" s="295"/>
      <c r="AX96" s="295"/>
      <c r="AY96" s="295"/>
      <c r="AZ96" s="295"/>
      <c r="BA96" s="301"/>
      <c r="BB96" s="301"/>
      <c r="BC96" s="301"/>
      <c r="BD96" s="296"/>
      <c r="BE96" s="296"/>
      <c r="BF96" s="297"/>
      <c r="BG96" s="297"/>
      <c r="BH96" s="297"/>
      <c r="BI96" s="297"/>
      <c r="BJ96" s="297"/>
      <c r="BK96" s="97"/>
      <c r="BL96" s="97"/>
      <c r="BM96" s="97"/>
      <c r="BN96" s="97"/>
    </row>
    <row r="97" spans="1:66" ht="12.75">
      <c r="A97" s="8"/>
      <c r="B97" s="8"/>
      <c r="C97" s="8"/>
      <c r="D97" s="299"/>
      <c r="E97" s="299"/>
      <c r="F97" s="299"/>
      <c r="G97" s="299"/>
      <c r="H97" s="299"/>
      <c r="I97" s="299"/>
      <c r="J97" s="299"/>
      <c r="K97" s="299"/>
      <c r="L97" s="299"/>
      <c r="M97" s="299"/>
      <c r="N97" s="299"/>
      <c r="O97" s="299"/>
      <c r="P97" s="300"/>
      <c r="Q97" s="299"/>
      <c r="R97" s="299"/>
      <c r="S97" s="299"/>
      <c r="T97" s="299"/>
      <c r="U97" s="299"/>
      <c r="V97" s="299"/>
      <c r="W97" s="299"/>
      <c r="X97" s="299"/>
      <c r="Y97" s="299"/>
      <c r="Z97" s="299"/>
      <c r="AA97" s="299"/>
      <c r="AB97" s="299"/>
      <c r="AC97" s="299"/>
      <c r="AD97" s="295"/>
      <c r="AE97" s="301"/>
      <c r="AF97" s="301"/>
      <c r="AG97" s="295"/>
      <c r="AH97" s="295"/>
      <c r="AI97" s="301"/>
      <c r="AJ97" s="301"/>
      <c r="AK97" s="301"/>
      <c r="AL97" s="301"/>
      <c r="AM97" s="301"/>
      <c r="AN97" s="301"/>
      <c r="AO97" s="295"/>
      <c r="AP97" s="296"/>
      <c r="AQ97" s="301"/>
      <c r="AR97" s="301"/>
      <c r="AS97" s="295"/>
      <c r="AT97" s="295"/>
      <c r="AU97" s="295"/>
      <c r="AV97" s="295"/>
      <c r="AW97" s="295"/>
      <c r="AX97" s="295"/>
      <c r="AY97" s="295"/>
      <c r="AZ97" s="295"/>
      <c r="BA97" s="301"/>
      <c r="BB97" s="301"/>
      <c r="BC97" s="301"/>
      <c r="BD97" s="296"/>
      <c r="BE97" s="296"/>
      <c r="BF97" s="297"/>
      <c r="BG97" s="297"/>
      <c r="BH97" s="297"/>
      <c r="BI97" s="297"/>
      <c r="BJ97" s="297"/>
      <c r="BK97" s="97"/>
      <c r="BL97" s="97"/>
      <c r="BM97" s="97"/>
      <c r="BN97" s="97"/>
    </row>
    <row r="98" spans="1:66" ht="12.75">
      <c r="A98" s="8"/>
      <c r="B98" s="8"/>
      <c r="C98" s="8"/>
      <c r="D98" s="299"/>
      <c r="E98" s="299"/>
      <c r="F98" s="299"/>
      <c r="G98" s="299"/>
      <c r="H98" s="299"/>
      <c r="I98" s="299"/>
      <c r="J98" s="299"/>
      <c r="K98" s="299"/>
      <c r="L98" s="299"/>
      <c r="M98" s="299"/>
      <c r="N98" s="299"/>
      <c r="O98" s="299"/>
      <c r="P98" s="300"/>
      <c r="Q98" s="299"/>
      <c r="R98" s="299"/>
      <c r="S98" s="299"/>
      <c r="T98" s="299"/>
      <c r="U98" s="299"/>
      <c r="V98" s="299"/>
      <c r="W98" s="299"/>
      <c r="X98" s="299"/>
      <c r="Y98" s="299"/>
      <c r="Z98" s="299"/>
      <c r="AA98" s="299"/>
      <c r="AB98" s="299"/>
      <c r="AC98" s="299"/>
      <c r="AD98" s="295"/>
      <c r="AE98" s="301"/>
      <c r="AF98" s="301"/>
      <c r="AG98" s="295"/>
      <c r="AH98" s="295"/>
      <c r="AI98" s="301"/>
      <c r="AJ98" s="301"/>
      <c r="AK98" s="301"/>
      <c r="AL98" s="301"/>
      <c r="AM98" s="301"/>
      <c r="AN98" s="301"/>
      <c r="AO98" s="295"/>
      <c r="AP98" s="296"/>
      <c r="AQ98" s="301"/>
      <c r="AR98" s="301"/>
      <c r="AS98" s="295"/>
      <c r="AT98" s="295"/>
      <c r="AU98" s="295"/>
      <c r="AV98" s="295"/>
      <c r="AW98" s="295"/>
      <c r="AX98" s="295"/>
      <c r="AY98" s="295"/>
      <c r="AZ98" s="295"/>
      <c r="BA98" s="301"/>
      <c r="BB98" s="301"/>
      <c r="BC98" s="301"/>
      <c r="BD98" s="296"/>
      <c r="BE98" s="296"/>
      <c r="BF98" s="297"/>
      <c r="BG98" s="297"/>
      <c r="BH98" s="297"/>
      <c r="BI98" s="297"/>
      <c r="BJ98" s="297"/>
      <c r="BK98" s="97"/>
      <c r="BL98" s="97"/>
      <c r="BM98" s="97"/>
      <c r="BN98" s="97"/>
    </row>
    <row r="99" spans="1:66" ht="12.75">
      <c r="A99" s="8"/>
      <c r="B99" s="298"/>
      <c r="C99" s="298"/>
      <c r="D99" s="299"/>
      <c r="E99" s="299"/>
      <c r="F99" s="299"/>
      <c r="G99" s="299"/>
      <c r="H99" s="299"/>
      <c r="I99" s="299"/>
      <c r="J99" s="299"/>
      <c r="K99" s="299"/>
      <c r="L99" s="299"/>
      <c r="M99" s="299"/>
      <c r="N99" s="299"/>
      <c r="O99" s="299"/>
      <c r="P99" s="299"/>
      <c r="Q99" s="299"/>
      <c r="R99" s="299"/>
      <c r="S99" s="299"/>
      <c r="T99" s="299"/>
      <c r="U99" s="299"/>
      <c r="V99" s="299"/>
      <c r="W99" s="299"/>
      <c r="X99" s="299"/>
      <c r="Y99" s="299"/>
      <c r="Z99" s="299"/>
      <c r="AA99" s="299"/>
      <c r="AB99" s="299"/>
      <c r="AC99" s="299"/>
      <c r="AD99" s="295"/>
      <c r="AE99" s="302"/>
      <c r="AF99" s="302"/>
      <c r="AG99" s="295"/>
      <c r="AH99" s="295"/>
      <c r="AI99" s="302"/>
      <c r="AJ99" s="302"/>
      <c r="AK99" s="302"/>
      <c r="AL99" s="302"/>
      <c r="AM99" s="302"/>
      <c r="AN99" s="302"/>
      <c r="AO99" s="295"/>
      <c r="AP99" s="295"/>
      <c r="AQ99" s="302"/>
      <c r="AR99" s="302"/>
      <c r="AS99" s="295"/>
      <c r="AT99" s="295"/>
      <c r="AU99" s="295"/>
      <c r="AV99" s="295"/>
      <c r="AW99" s="295"/>
      <c r="AX99" s="295"/>
      <c r="AY99" s="295"/>
      <c r="AZ99" s="295"/>
      <c r="BA99" s="302"/>
      <c r="BB99" s="302"/>
      <c r="BC99" s="302"/>
      <c r="BD99" s="295"/>
      <c r="BE99" s="295"/>
      <c r="BF99" s="299"/>
      <c r="BG99" s="299"/>
      <c r="BH99" s="299"/>
      <c r="BI99" s="299"/>
      <c r="BJ99" s="299"/>
      <c r="BK99" s="97"/>
      <c r="BL99" s="97"/>
      <c r="BM99" s="97"/>
      <c r="BN99" s="97"/>
    </row>
    <row r="100" spans="1:66" ht="12.75">
      <c r="A100" s="8"/>
      <c r="B100" s="298"/>
      <c r="C100" s="298"/>
      <c r="D100" s="299"/>
      <c r="E100" s="299"/>
      <c r="F100" s="299"/>
      <c r="G100" s="299"/>
      <c r="H100" s="299"/>
      <c r="I100" s="299"/>
      <c r="J100" s="299"/>
      <c r="K100" s="299"/>
      <c r="L100" s="299"/>
      <c r="M100" s="299"/>
      <c r="N100" s="299"/>
      <c r="O100" s="299"/>
      <c r="P100" s="299"/>
      <c r="Q100" s="299"/>
      <c r="R100" s="299"/>
      <c r="S100" s="299"/>
      <c r="T100" s="299"/>
      <c r="U100" s="299"/>
      <c r="V100" s="299"/>
      <c r="W100" s="299"/>
      <c r="X100" s="299"/>
      <c r="Y100" s="299"/>
      <c r="Z100" s="299"/>
      <c r="AA100" s="299"/>
      <c r="AB100" s="299"/>
      <c r="AC100" s="299"/>
      <c r="AD100" s="295"/>
      <c r="AE100" s="302"/>
      <c r="AF100" s="302"/>
      <c r="AG100" s="295"/>
      <c r="AH100" s="295"/>
      <c r="AI100" s="302"/>
      <c r="AJ100" s="302"/>
      <c r="AK100" s="302"/>
      <c r="AL100" s="302"/>
      <c r="AM100" s="302"/>
      <c r="AN100" s="302"/>
      <c r="AO100" s="295"/>
      <c r="AP100" s="295"/>
      <c r="AQ100" s="302"/>
      <c r="AR100" s="302"/>
      <c r="AS100" s="295"/>
      <c r="AT100" s="295"/>
      <c r="AU100" s="295"/>
      <c r="AV100" s="295"/>
      <c r="AW100" s="295"/>
      <c r="AX100" s="295"/>
      <c r="AY100" s="295"/>
      <c r="AZ100" s="295"/>
      <c r="BA100" s="302"/>
      <c r="BB100" s="302"/>
      <c r="BC100" s="302"/>
      <c r="BD100" s="295"/>
      <c r="BE100" s="295"/>
      <c r="BF100" s="299"/>
      <c r="BG100" s="299"/>
      <c r="BH100" s="299"/>
      <c r="BI100" s="299"/>
      <c r="BJ100" s="299"/>
      <c r="BK100" s="97"/>
      <c r="BL100" s="97"/>
      <c r="BM100" s="97"/>
      <c r="BN100" s="97"/>
    </row>
    <row r="101" spans="1:66" ht="12.75">
      <c r="A101" s="8"/>
      <c r="B101" s="8"/>
      <c r="C101" s="8"/>
      <c r="D101" s="299"/>
      <c r="E101" s="299"/>
      <c r="F101" s="299"/>
      <c r="G101" s="299"/>
      <c r="H101" s="299"/>
      <c r="I101" s="299"/>
      <c r="J101" s="299"/>
      <c r="K101" s="299"/>
      <c r="L101" s="299"/>
      <c r="M101" s="299"/>
      <c r="N101" s="299"/>
      <c r="O101" s="299"/>
      <c r="P101" s="300"/>
      <c r="Q101" s="299"/>
      <c r="R101" s="299"/>
      <c r="S101" s="299"/>
      <c r="T101" s="299"/>
      <c r="U101" s="299"/>
      <c r="V101" s="299"/>
      <c r="W101" s="299"/>
      <c r="X101" s="299"/>
      <c r="Y101" s="299"/>
      <c r="Z101" s="299"/>
      <c r="AA101" s="299"/>
      <c r="AB101" s="299"/>
      <c r="AC101" s="299"/>
      <c r="AD101" s="295"/>
      <c r="AE101" s="301"/>
      <c r="AF101" s="301"/>
      <c r="AG101" s="295"/>
      <c r="AH101" s="295"/>
      <c r="AI101" s="301"/>
      <c r="AJ101" s="301"/>
      <c r="AK101" s="301"/>
      <c r="AL101" s="301"/>
      <c r="AM101" s="301"/>
      <c r="AN101" s="301"/>
      <c r="AO101" s="295"/>
      <c r="AP101" s="296"/>
      <c r="AQ101" s="301"/>
      <c r="AR101" s="301"/>
      <c r="AS101" s="295"/>
      <c r="AT101" s="295"/>
      <c r="AU101" s="295"/>
      <c r="AV101" s="295"/>
      <c r="AW101" s="295"/>
      <c r="AX101" s="295"/>
      <c r="AY101" s="295"/>
      <c r="AZ101" s="295"/>
      <c r="BA101" s="302"/>
      <c r="BB101" s="302"/>
      <c r="BC101" s="302"/>
      <c r="BD101" s="296"/>
      <c r="BE101" s="296"/>
      <c r="BF101" s="297"/>
      <c r="BG101" s="297"/>
      <c r="BH101" s="297"/>
      <c r="BI101" s="297"/>
      <c r="BJ101" s="297"/>
      <c r="BK101" s="97"/>
      <c r="BL101" s="97"/>
      <c r="BM101" s="97"/>
      <c r="BN101" s="97"/>
    </row>
    <row r="102" spans="1:66" ht="12.75">
      <c r="A102" s="8"/>
      <c r="B102" s="8"/>
      <c r="C102" s="8"/>
      <c r="D102" s="299"/>
      <c r="E102" s="299"/>
      <c r="F102" s="299"/>
      <c r="G102" s="299"/>
      <c r="H102" s="299"/>
      <c r="I102" s="299"/>
      <c r="J102" s="299"/>
      <c r="K102" s="299"/>
      <c r="L102" s="299"/>
      <c r="M102" s="299"/>
      <c r="N102" s="299"/>
      <c r="O102" s="299"/>
      <c r="P102" s="300"/>
      <c r="Q102" s="299"/>
      <c r="R102" s="299"/>
      <c r="S102" s="299"/>
      <c r="T102" s="299"/>
      <c r="U102" s="299"/>
      <c r="V102" s="299"/>
      <c r="W102" s="299"/>
      <c r="X102" s="299"/>
      <c r="Y102" s="299"/>
      <c r="Z102" s="299"/>
      <c r="AA102" s="299"/>
      <c r="AB102" s="299"/>
      <c r="AC102" s="299"/>
      <c r="AD102" s="295"/>
      <c r="AE102" s="301"/>
      <c r="AF102" s="301"/>
      <c r="AG102" s="295"/>
      <c r="AH102" s="295"/>
      <c r="AI102" s="301"/>
      <c r="AJ102" s="301"/>
      <c r="AK102" s="301"/>
      <c r="AL102" s="301"/>
      <c r="AM102" s="301"/>
      <c r="AN102" s="301"/>
      <c r="AO102" s="295"/>
      <c r="AP102" s="296"/>
      <c r="AQ102" s="301"/>
      <c r="AR102" s="301"/>
      <c r="AS102" s="295"/>
      <c r="AT102" s="295"/>
      <c r="AU102" s="295"/>
      <c r="AV102" s="295"/>
      <c r="AW102" s="295"/>
      <c r="AX102" s="295"/>
      <c r="AY102" s="295"/>
      <c r="AZ102" s="295"/>
      <c r="BA102" s="301"/>
      <c r="BB102" s="301"/>
      <c r="BC102" s="301"/>
      <c r="BD102" s="296"/>
      <c r="BE102" s="296"/>
      <c r="BF102" s="297"/>
      <c r="BG102" s="297"/>
      <c r="BH102" s="297"/>
      <c r="BI102" s="297"/>
      <c r="BJ102" s="297"/>
      <c r="BK102" s="97"/>
      <c r="BL102" s="97"/>
      <c r="BM102" s="97"/>
      <c r="BN102" s="97"/>
    </row>
    <row r="103" spans="1:66" ht="12.75">
      <c r="A103" s="8"/>
      <c r="B103" s="8"/>
      <c r="C103" s="8"/>
      <c r="D103" s="299"/>
      <c r="E103" s="299"/>
      <c r="F103" s="299"/>
      <c r="G103" s="299"/>
      <c r="H103" s="299"/>
      <c r="I103" s="299"/>
      <c r="J103" s="299"/>
      <c r="K103" s="299"/>
      <c r="L103" s="299"/>
      <c r="M103" s="299"/>
      <c r="N103" s="299"/>
      <c r="O103" s="299"/>
      <c r="P103" s="300"/>
      <c r="Q103" s="299"/>
      <c r="R103" s="299"/>
      <c r="S103" s="299"/>
      <c r="T103" s="299"/>
      <c r="U103" s="299"/>
      <c r="V103" s="299"/>
      <c r="W103" s="299"/>
      <c r="X103" s="299"/>
      <c r="Y103" s="299"/>
      <c r="Z103" s="299"/>
      <c r="AA103" s="299"/>
      <c r="AB103" s="299"/>
      <c r="AC103" s="299"/>
      <c r="AD103" s="295"/>
      <c r="AE103" s="301"/>
      <c r="AF103" s="301"/>
      <c r="AG103" s="295"/>
      <c r="AH103" s="295"/>
      <c r="AI103" s="301"/>
      <c r="AJ103" s="301"/>
      <c r="AK103" s="301"/>
      <c r="AL103" s="301"/>
      <c r="AM103" s="301"/>
      <c r="AN103" s="301"/>
      <c r="AO103" s="295"/>
      <c r="AP103" s="296"/>
      <c r="AQ103" s="301"/>
      <c r="AR103" s="301"/>
      <c r="AS103" s="295"/>
      <c r="AT103" s="295"/>
      <c r="AU103" s="295"/>
      <c r="AV103" s="295"/>
      <c r="AW103" s="295"/>
      <c r="AX103" s="295"/>
      <c r="AY103" s="295"/>
      <c r="AZ103" s="295"/>
      <c r="BA103" s="301"/>
      <c r="BB103" s="301"/>
      <c r="BC103" s="301"/>
      <c r="BD103" s="296"/>
      <c r="BE103" s="296"/>
      <c r="BF103" s="297"/>
      <c r="BG103" s="297"/>
      <c r="BH103" s="297"/>
      <c r="BI103" s="297"/>
      <c r="BJ103" s="297"/>
      <c r="BK103" s="97"/>
      <c r="BL103" s="97"/>
      <c r="BM103" s="97"/>
      <c r="BN103" s="97"/>
    </row>
    <row r="104" spans="1:66" ht="12.75">
      <c r="A104" s="8"/>
      <c r="B104" s="8"/>
      <c r="C104" s="8"/>
      <c r="D104" s="299"/>
      <c r="E104" s="299"/>
      <c r="F104" s="299"/>
      <c r="G104" s="299"/>
      <c r="H104" s="299"/>
      <c r="I104" s="299"/>
      <c r="J104" s="299"/>
      <c r="K104" s="299"/>
      <c r="L104" s="299"/>
      <c r="M104" s="299"/>
      <c r="N104" s="299"/>
      <c r="O104" s="299"/>
      <c r="P104" s="300"/>
      <c r="Q104" s="299"/>
      <c r="R104" s="299"/>
      <c r="S104" s="299"/>
      <c r="T104" s="299"/>
      <c r="U104" s="299"/>
      <c r="V104" s="299"/>
      <c r="W104" s="299"/>
      <c r="X104" s="299"/>
      <c r="Y104" s="299"/>
      <c r="Z104" s="299"/>
      <c r="AA104" s="299"/>
      <c r="AB104" s="299"/>
      <c r="AC104" s="299"/>
      <c r="AD104" s="295"/>
      <c r="AE104" s="301"/>
      <c r="AF104" s="301"/>
      <c r="AG104" s="295"/>
      <c r="AH104" s="295"/>
      <c r="AI104" s="301"/>
      <c r="AJ104" s="301"/>
      <c r="AK104" s="301"/>
      <c r="AL104" s="301"/>
      <c r="AM104" s="301"/>
      <c r="AN104" s="301"/>
      <c r="AO104" s="295"/>
      <c r="AP104" s="296"/>
      <c r="AQ104" s="301"/>
      <c r="AR104" s="301"/>
      <c r="AS104" s="295"/>
      <c r="AT104" s="295"/>
      <c r="AU104" s="295"/>
      <c r="AV104" s="295"/>
      <c r="AW104" s="295"/>
      <c r="AX104" s="295"/>
      <c r="AY104" s="295"/>
      <c r="AZ104" s="295"/>
      <c r="BA104" s="301"/>
      <c r="BB104" s="301"/>
      <c r="BC104" s="301"/>
      <c r="BD104" s="296"/>
      <c r="BE104" s="296"/>
      <c r="BF104" s="297"/>
      <c r="BG104" s="297"/>
      <c r="BH104" s="297"/>
      <c r="BI104" s="297"/>
      <c r="BJ104" s="297"/>
      <c r="BK104" s="97"/>
      <c r="BL104" s="97"/>
      <c r="BM104" s="97"/>
      <c r="BN104" s="97"/>
    </row>
    <row r="105" spans="1:66" ht="12.75">
      <c r="A105" s="8"/>
      <c r="B105" s="8"/>
      <c r="C105" s="8"/>
      <c r="D105" s="299"/>
      <c r="E105" s="299"/>
      <c r="F105" s="299"/>
      <c r="G105" s="299"/>
      <c r="H105" s="299"/>
      <c r="I105" s="299"/>
      <c r="J105" s="299"/>
      <c r="K105" s="299"/>
      <c r="L105" s="299"/>
      <c r="M105" s="299"/>
      <c r="N105" s="299"/>
      <c r="O105" s="299"/>
      <c r="P105" s="300"/>
      <c r="Q105" s="299"/>
      <c r="R105" s="299"/>
      <c r="S105" s="299"/>
      <c r="T105" s="299"/>
      <c r="U105" s="299"/>
      <c r="V105" s="299"/>
      <c r="W105" s="299"/>
      <c r="X105" s="299"/>
      <c r="Y105" s="299"/>
      <c r="Z105" s="299"/>
      <c r="AA105" s="299"/>
      <c r="AB105" s="299"/>
      <c r="AC105" s="299"/>
      <c r="AD105" s="295"/>
      <c r="AE105" s="301"/>
      <c r="AF105" s="301"/>
      <c r="AG105" s="295"/>
      <c r="AH105" s="295"/>
      <c r="AI105" s="301"/>
      <c r="AJ105" s="301"/>
      <c r="AK105" s="301"/>
      <c r="AL105" s="301"/>
      <c r="AM105" s="301"/>
      <c r="AN105" s="301"/>
      <c r="AO105" s="295"/>
      <c r="AP105" s="296"/>
      <c r="AQ105" s="301"/>
      <c r="AR105" s="301"/>
      <c r="AS105" s="295"/>
      <c r="AT105" s="295"/>
      <c r="AU105" s="295"/>
      <c r="AV105" s="295"/>
      <c r="AW105" s="295"/>
      <c r="AX105" s="295"/>
      <c r="AY105" s="295"/>
      <c r="AZ105" s="295"/>
      <c r="BA105" s="301"/>
      <c r="BB105" s="301"/>
      <c r="BC105" s="301"/>
      <c r="BD105" s="296"/>
      <c r="BE105" s="296"/>
      <c r="BF105" s="297"/>
      <c r="BG105" s="297"/>
      <c r="BH105" s="297"/>
      <c r="BI105" s="297"/>
      <c r="BJ105" s="297"/>
      <c r="BK105" s="97"/>
      <c r="BL105" s="97"/>
      <c r="BM105" s="97"/>
      <c r="BN105" s="97"/>
    </row>
    <row r="106" spans="1:66" ht="12.75">
      <c r="A106" s="8"/>
      <c r="B106" s="298"/>
      <c r="C106" s="298"/>
      <c r="D106" s="299"/>
      <c r="E106" s="299"/>
      <c r="F106" s="299"/>
      <c r="G106" s="299"/>
      <c r="H106" s="299"/>
      <c r="I106" s="299"/>
      <c r="J106" s="299"/>
      <c r="K106" s="299"/>
      <c r="L106" s="299"/>
      <c r="M106" s="299"/>
      <c r="N106" s="299"/>
      <c r="O106" s="299"/>
      <c r="P106" s="299"/>
      <c r="Q106" s="299"/>
      <c r="R106" s="299"/>
      <c r="S106" s="299"/>
      <c r="T106" s="299"/>
      <c r="U106" s="299"/>
      <c r="V106" s="299"/>
      <c r="W106" s="299"/>
      <c r="X106" s="299"/>
      <c r="Y106" s="299"/>
      <c r="Z106" s="299"/>
      <c r="AA106" s="299"/>
      <c r="AB106" s="299"/>
      <c r="AC106" s="299"/>
      <c r="AD106" s="295"/>
      <c r="AE106" s="302"/>
      <c r="AF106" s="302"/>
      <c r="AG106" s="295"/>
      <c r="AH106" s="295"/>
      <c r="AI106" s="302"/>
      <c r="AJ106" s="302"/>
      <c r="AK106" s="302"/>
      <c r="AL106" s="302"/>
      <c r="AM106" s="302"/>
      <c r="AN106" s="302"/>
      <c r="AO106" s="295"/>
      <c r="AP106" s="295"/>
      <c r="AQ106" s="302"/>
      <c r="AR106" s="302"/>
      <c r="AS106" s="295"/>
      <c r="AT106" s="295"/>
      <c r="AU106" s="295"/>
      <c r="AV106" s="295"/>
      <c r="AW106" s="295"/>
      <c r="AX106" s="295"/>
      <c r="AY106" s="295"/>
      <c r="AZ106" s="295"/>
      <c r="BA106" s="302"/>
      <c r="BB106" s="302"/>
      <c r="BC106" s="302"/>
      <c r="BD106" s="295"/>
      <c r="BE106" s="295"/>
      <c r="BF106" s="299"/>
      <c r="BG106" s="299"/>
      <c r="BH106" s="299"/>
      <c r="BI106" s="299"/>
      <c r="BJ106" s="299"/>
      <c r="BK106" s="97"/>
      <c r="BL106" s="97"/>
      <c r="BM106" s="97"/>
      <c r="BN106" s="97"/>
    </row>
    <row r="107" spans="1:66" ht="12.75">
      <c r="A107" s="8"/>
      <c r="B107" s="298"/>
      <c r="C107" s="298"/>
      <c r="D107" s="299"/>
      <c r="E107" s="299"/>
      <c r="F107" s="299"/>
      <c r="G107" s="299"/>
      <c r="H107" s="299"/>
      <c r="I107" s="299"/>
      <c r="J107" s="299"/>
      <c r="K107" s="299"/>
      <c r="L107" s="299"/>
      <c r="M107" s="299"/>
      <c r="N107" s="299"/>
      <c r="O107" s="299"/>
      <c r="P107" s="299"/>
      <c r="Q107" s="299"/>
      <c r="R107" s="299"/>
      <c r="S107" s="299"/>
      <c r="T107" s="299"/>
      <c r="U107" s="299"/>
      <c r="V107" s="299"/>
      <c r="W107" s="299"/>
      <c r="X107" s="299"/>
      <c r="Y107" s="299"/>
      <c r="Z107" s="299"/>
      <c r="AA107" s="299"/>
      <c r="AB107" s="299"/>
      <c r="AC107" s="299"/>
      <c r="AD107" s="295"/>
      <c r="AE107" s="302"/>
      <c r="AF107" s="302"/>
      <c r="AG107" s="295"/>
      <c r="AH107" s="295"/>
      <c r="AI107" s="302"/>
      <c r="AJ107" s="302"/>
      <c r="AK107" s="302"/>
      <c r="AL107" s="302"/>
      <c r="AM107" s="302"/>
      <c r="AN107" s="302"/>
      <c r="AO107" s="295"/>
      <c r="AP107" s="295"/>
      <c r="AQ107" s="302"/>
      <c r="AR107" s="302"/>
      <c r="AS107" s="295"/>
      <c r="AT107" s="295"/>
      <c r="AU107" s="295"/>
      <c r="AV107" s="295"/>
      <c r="AW107" s="295"/>
      <c r="AX107" s="295"/>
      <c r="AY107" s="295"/>
      <c r="AZ107" s="295"/>
      <c r="BA107" s="302"/>
      <c r="BB107" s="302"/>
      <c r="BC107" s="302"/>
      <c r="BD107" s="295"/>
      <c r="BE107" s="295"/>
      <c r="BF107" s="299"/>
      <c r="BG107" s="299"/>
      <c r="BH107" s="299"/>
      <c r="BI107" s="299"/>
      <c r="BJ107" s="299"/>
      <c r="BK107" s="97"/>
      <c r="BL107" s="97"/>
      <c r="BM107" s="97"/>
      <c r="BN107" s="97"/>
    </row>
    <row r="108" spans="1:66" ht="12.75">
      <c r="A108" s="8"/>
      <c r="B108" s="8"/>
      <c r="C108" s="8"/>
      <c r="D108" s="299"/>
      <c r="E108" s="299"/>
      <c r="F108" s="299"/>
      <c r="G108" s="299"/>
      <c r="H108" s="299"/>
      <c r="I108" s="299"/>
      <c r="J108" s="299"/>
      <c r="K108" s="299"/>
      <c r="L108" s="299"/>
      <c r="M108" s="299"/>
      <c r="N108" s="299"/>
      <c r="O108" s="299"/>
      <c r="P108" s="300"/>
      <c r="Q108" s="299"/>
      <c r="R108" s="299"/>
      <c r="S108" s="299"/>
      <c r="T108" s="299"/>
      <c r="U108" s="299"/>
      <c r="V108" s="299"/>
      <c r="W108" s="299"/>
      <c r="X108" s="299"/>
      <c r="Y108" s="299"/>
      <c r="Z108" s="299"/>
      <c r="AA108" s="299"/>
      <c r="AB108" s="299"/>
      <c r="AC108" s="299"/>
      <c r="AD108" s="295"/>
      <c r="AE108" s="301"/>
      <c r="AF108" s="301"/>
      <c r="AG108" s="295"/>
      <c r="AH108" s="295"/>
      <c r="AI108" s="301"/>
      <c r="AJ108" s="301"/>
      <c r="AK108" s="301"/>
      <c r="AL108" s="301"/>
      <c r="AM108" s="301"/>
      <c r="AN108" s="301"/>
      <c r="AO108" s="295"/>
      <c r="AP108" s="296"/>
      <c r="AQ108" s="301"/>
      <c r="AR108" s="301"/>
      <c r="AS108" s="295"/>
      <c r="AT108" s="295"/>
      <c r="AU108" s="295"/>
      <c r="AV108" s="295"/>
      <c r="AW108" s="295"/>
      <c r="AX108" s="295"/>
      <c r="AY108" s="295"/>
      <c r="AZ108" s="295"/>
      <c r="BA108" s="301"/>
      <c r="BB108" s="301"/>
      <c r="BC108" s="301"/>
      <c r="BD108" s="296"/>
      <c r="BE108" s="296"/>
      <c r="BF108" s="297"/>
      <c r="BG108" s="297"/>
      <c r="BH108" s="297"/>
      <c r="BI108" s="297"/>
      <c r="BJ108" s="297"/>
      <c r="BK108" s="97"/>
      <c r="BL108" s="97"/>
      <c r="BM108" s="97"/>
      <c r="BN108" s="97"/>
    </row>
    <row r="109" spans="1:66" ht="12.75">
      <c r="A109" s="8"/>
      <c r="B109" s="8"/>
      <c r="C109" s="8"/>
      <c r="D109" s="299"/>
      <c r="E109" s="299"/>
      <c r="F109" s="299"/>
      <c r="G109" s="299"/>
      <c r="H109" s="299"/>
      <c r="I109" s="299"/>
      <c r="J109" s="299"/>
      <c r="K109" s="299"/>
      <c r="L109" s="299"/>
      <c r="M109" s="299"/>
      <c r="N109" s="299"/>
      <c r="O109" s="299"/>
      <c r="P109" s="300"/>
      <c r="Q109" s="299"/>
      <c r="R109" s="299"/>
      <c r="S109" s="299"/>
      <c r="T109" s="299"/>
      <c r="U109" s="299"/>
      <c r="V109" s="299"/>
      <c r="W109" s="299"/>
      <c r="X109" s="299"/>
      <c r="Y109" s="299"/>
      <c r="Z109" s="299"/>
      <c r="AA109" s="299"/>
      <c r="AB109" s="299"/>
      <c r="AC109" s="299"/>
      <c r="AD109" s="295"/>
      <c r="AE109" s="301"/>
      <c r="AF109" s="301"/>
      <c r="AG109" s="295"/>
      <c r="AH109" s="295"/>
      <c r="AI109" s="301"/>
      <c r="AJ109" s="301"/>
      <c r="AK109" s="301"/>
      <c r="AL109" s="301"/>
      <c r="AM109" s="301"/>
      <c r="AN109" s="301"/>
      <c r="AO109" s="295"/>
      <c r="AP109" s="296"/>
      <c r="AQ109" s="301"/>
      <c r="AR109" s="301"/>
      <c r="AS109" s="295"/>
      <c r="AT109" s="295"/>
      <c r="AU109" s="295"/>
      <c r="AV109" s="295"/>
      <c r="AW109" s="295"/>
      <c r="AX109" s="295"/>
      <c r="AY109" s="295"/>
      <c r="AZ109" s="295"/>
      <c r="BA109" s="301"/>
      <c r="BB109" s="301"/>
      <c r="BC109" s="301"/>
      <c r="BD109" s="296"/>
      <c r="BE109" s="296"/>
      <c r="BF109" s="297"/>
      <c r="BG109" s="297"/>
      <c r="BH109" s="297"/>
      <c r="BI109" s="297"/>
      <c r="BJ109" s="297"/>
      <c r="BK109" s="97"/>
      <c r="BL109" s="97"/>
      <c r="BM109" s="97"/>
      <c r="BN109" s="97"/>
    </row>
    <row r="110" spans="1:66" ht="12.75">
      <c r="A110" s="8"/>
      <c r="B110" s="8"/>
      <c r="C110" s="8"/>
      <c r="D110" s="299"/>
      <c r="E110" s="299"/>
      <c r="F110" s="299"/>
      <c r="G110" s="299"/>
      <c r="H110" s="299"/>
      <c r="I110" s="299"/>
      <c r="J110" s="299"/>
      <c r="K110" s="299"/>
      <c r="L110" s="299"/>
      <c r="M110" s="299"/>
      <c r="N110" s="299"/>
      <c r="O110" s="299"/>
      <c r="P110" s="300"/>
      <c r="Q110" s="299"/>
      <c r="R110" s="299"/>
      <c r="S110" s="299"/>
      <c r="T110" s="299"/>
      <c r="U110" s="299"/>
      <c r="V110" s="299"/>
      <c r="W110" s="299"/>
      <c r="X110" s="299"/>
      <c r="Y110" s="299"/>
      <c r="Z110" s="299"/>
      <c r="AA110" s="299"/>
      <c r="AB110" s="299"/>
      <c r="AC110" s="299"/>
      <c r="AD110" s="295"/>
      <c r="AE110" s="301"/>
      <c r="AF110" s="301"/>
      <c r="AG110" s="295"/>
      <c r="AH110" s="295"/>
      <c r="AI110" s="301"/>
      <c r="AJ110" s="301"/>
      <c r="AK110" s="301"/>
      <c r="AL110" s="301"/>
      <c r="AM110" s="301"/>
      <c r="AN110" s="301"/>
      <c r="AO110" s="295"/>
      <c r="AP110" s="296"/>
      <c r="AQ110" s="301"/>
      <c r="AR110" s="301"/>
      <c r="AS110" s="295"/>
      <c r="AT110" s="295"/>
      <c r="AU110" s="295"/>
      <c r="AV110" s="295"/>
      <c r="AW110" s="295"/>
      <c r="AX110" s="295"/>
      <c r="AY110" s="295"/>
      <c r="AZ110" s="295"/>
      <c r="BA110" s="301"/>
      <c r="BB110" s="301"/>
      <c r="BC110" s="301"/>
      <c r="BD110" s="296"/>
      <c r="BE110" s="296"/>
      <c r="BF110" s="297"/>
      <c r="BG110" s="297"/>
      <c r="BH110" s="297"/>
      <c r="BI110" s="297"/>
      <c r="BJ110" s="297"/>
      <c r="BK110" s="97"/>
      <c r="BL110" s="97"/>
      <c r="BM110" s="97"/>
      <c r="BN110" s="97"/>
    </row>
    <row r="111" spans="1:66" ht="12.75">
      <c r="A111" s="8"/>
      <c r="B111" s="8"/>
      <c r="C111" s="8"/>
      <c r="D111" s="299"/>
      <c r="E111" s="299"/>
      <c r="F111" s="299"/>
      <c r="G111" s="299"/>
      <c r="H111" s="299"/>
      <c r="I111" s="299"/>
      <c r="J111" s="299"/>
      <c r="K111" s="299"/>
      <c r="L111" s="299"/>
      <c r="M111" s="299"/>
      <c r="N111" s="299"/>
      <c r="O111" s="299"/>
      <c r="P111" s="300"/>
      <c r="Q111" s="299"/>
      <c r="R111" s="299"/>
      <c r="S111" s="299"/>
      <c r="T111" s="299"/>
      <c r="U111" s="299"/>
      <c r="V111" s="299"/>
      <c r="W111" s="299"/>
      <c r="X111" s="299"/>
      <c r="Y111" s="299"/>
      <c r="Z111" s="299"/>
      <c r="AA111" s="299"/>
      <c r="AB111" s="299"/>
      <c r="AC111" s="299"/>
      <c r="AD111" s="295"/>
      <c r="AE111" s="301"/>
      <c r="AF111" s="301"/>
      <c r="AG111" s="295"/>
      <c r="AH111" s="295"/>
      <c r="AI111" s="301"/>
      <c r="AJ111" s="301"/>
      <c r="AK111" s="301"/>
      <c r="AL111" s="301"/>
      <c r="AM111" s="301"/>
      <c r="AN111" s="301"/>
      <c r="AO111" s="295"/>
      <c r="AP111" s="296"/>
      <c r="AQ111" s="301"/>
      <c r="AR111" s="301"/>
      <c r="AS111" s="295"/>
      <c r="AT111" s="295"/>
      <c r="AU111" s="295"/>
      <c r="AV111" s="295"/>
      <c r="AW111" s="295"/>
      <c r="AX111" s="295"/>
      <c r="AY111" s="295"/>
      <c r="AZ111" s="295"/>
      <c r="BA111" s="301"/>
      <c r="BB111" s="301"/>
      <c r="BC111" s="301"/>
      <c r="BD111" s="296"/>
      <c r="BE111" s="296"/>
      <c r="BF111" s="297"/>
      <c r="BG111" s="297"/>
      <c r="BH111" s="297"/>
      <c r="BI111" s="297"/>
      <c r="BJ111" s="297"/>
      <c r="BK111" s="97"/>
      <c r="BL111" s="97"/>
      <c r="BM111" s="97"/>
      <c r="BN111" s="97"/>
    </row>
    <row r="112" spans="1:66" ht="12.75">
      <c r="A112" s="8"/>
      <c r="B112" s="8"/>
      <c r="C112" s="8"/>
      <c r="D112" s="299"/>
      <c r="E112" s="299"/>
      <c r="F112" s="299"/>
      <c r="G112" s="299"/>
      <c r="H112" s="299"/>
      <c r="I112" s="299"/>
      <c r="J112" s="299"/>
      <c r="K112" s="299"/>
      <c r="L112" s="299"/>
      <c r="M112" s="299"/>
      <c r="N112" s="299"/>
      <c r="O112" s="299"/>
      <c r="P112" s="300"/>
      <c r="Q112" s="299"/>
      <c r="R112" s="299"/>
      <c r="S112" s="299"/>
      <c r="T112" s="299"/>
      <c r="U112" s="299"/>
      <c r="V112" s="299"/>
      <c r="W112" s="299"/>
      <c r="X112" s="299"/>
      <c r="Y112" s="299"/>
      <c r="Z112" s="299"/>
      <c r="AA112" s="299"/>
      <c r="AB112" s="299"/>
      <c r="AC112" s="299"/>
      <c r="AD112" s="295"/>
      <c r="AE112" s="301"/>
      <c r="AF112" s="301"/>
      <c r="AG112" s="295"/>
      <c r="AH112" s="295"/>
      <c r="AI112" s="301"/>
      <c r="AJ112" s="301"/>
      <c r="AK112" s="301"/>
      <c r="AL112" s="301"/>
      <c r="AM112" s="301"/>
      <c r="AN112" s="301"/>
      <c r="AO112" s="295"/>
      <c r="AP112" s="296"/>
      <c r="AQ112" s="301"/>
      <c r="AR112" s="301"/>
      <c r="AS112" s="295"/>
      <c r="AT112" s="295"/>
      <c r="AU112" s="295"/>
      <c r="AV112" s="295"/>
      <c r="AW112" s="295"/>
      <c r="AX112" s="295"/>
      <c r="AY112" s="295"/>
      <c r="AZ112" s="295"/>
      <c r="BA112" s="301"/>
      <c r="BB112" s="301"/>
      <c r="BC112" s="301"/>
      <c r="BD112" s="296"/>
      <c r="BE112" s="296"/>
      <c r="BF112" s="297"/>
      <c r="BG112" s="297"/>
      <c r="BH112" s="297"/>
      <c r="BI112" s="297"/>
      <c r="BJ112" s="297"/>
      <c r="BK112" s="97"/>
      <c r="BL112" s="97"/>
      <c r="BM112" s="97"/>
      <c r="BN112" s="97"/>
    </row>
    <row r="113" spans="1:66" ht="12.75">
      <c r="A113" s="8"/>
      <c r="B113" s="8"/>
      <c r="C113" s="8"/>
      <c r="D113" s="299"/>
      <c r="E113" s="299"/>
      <c r="F113" s="299"/>
      <c r="G113" s="299"/>
      <c r="H113" s="299"/>
      <c r="I113" s="299"/>
      <c r="J113" s="299"/>
      <c r="K113" s="299"/>
      <c r="L113" s="299"/>
      <c r="M113" s="299"/>
      <c r="N113" s="299"/>
      <c r="O113" s="299"/>
      <c r="P113" s="300"/>
      <c r="Q113" s="299"/>
      <c r="R113" s="299"/>
      <c r="S113" s="299"/>
      <c r="T113" s="299"/>
      <c r="U113" s="299"/>
      <c r="V113" s="299"/>
      <c r="W113" s="299"/>
      <c r="X113" s="299"/>
      <c r="Y113" s="299"/>
      <c r="Z113" s="299"/>
      <c r="AA113" s="299"/>
      <c r="AB113" s="299"/>
      <c r="AC113" s="299"/>
      <c r="AD113" s="295"/>
      <c r="AE113" s="301"/>
      <c r="AF113" s="301"/>
      <c r="AG113" s="295"/>
      <c r="AH113" s="295"/>
      <c r="AI113" s="301"/>
      <c r="AJ113" s="301"/>
      <c r="AK113" s="301"/>
      <c r="AL113" s="301"/>
      <c r="AM113" s="301"/>
      <c r="AN113" s="301"/>
      <c r="AO113" s="295"/>
      <c r="AP113" s="296"/>
      <c r="AQ113" s="301"/>
      <c r="AR113" s="301"/>
      <c r="AS113" s="295"/>
      <c r="AT113" s="295"/>
      <c r="AU113" s="295"/>
      <c r="AV113" s="295"/>
      <c r="AW113" s="295"/>
      <c r="AX113" s="295"/>
      <c r="AY113" s="295"/>
      <c r="AZ113" s="295"/>
      <c r="BA113" s="301"/>
      <c r="BB113" s="301"/>
      <c r="BC113" s="301"/>
      <c r="BD113" s="296"/>
      <c r="BE113" s="296"/>
      <c r="BF113" s="297"/>
      <c r="BG113" s="297"/>
      <c r="BH113" s="297"/>
      <c r="BI113" s="297"/>
      <c r="BJ113" s="297"/>
      <c r="BK113" s="97"/>
      <c r="BL113" s="97"/>
      <c r="BM113" s="97"/>
      <c r="BN113" s="97"/>
    </row>
    <row r="114" spans="1:66" ht="12.75">
      <c r="A114" s="8"/>
      <c r="B114" s="298"/>
      <c r="C114" s="298"/>
      <c r="D114" s="299"/>
      <c r="E114" s="299"/>
      <c r="F114" s="299"/>
      <c r="G114" s="299"/>
      <c r="H114" s="299"/>
      <c r="I114" s="299"/>
      <c r="J114" s="299"/>
      <c r="K114" s="299"/>
      <c r="L114" s="299"/>
      <c r="M114" s="299"/>
      <c r="N114" s="299"/>
      <c r="O114" s="299"/>
      <c r="P114" s="299"/>
      <c r="Q114" s="299"/>
      <c r="R114" s="299"/>
      <c r="S114" s="299"/>
      <c r="T114" s="299"/>
      <c r="U114" s="299"/>
      <c r="V114" s="299"/>
      <c r="W114" s="299"/>
      <c r="X114" s="299"/>
      <c r="Y114" s="299"/>
      <c r="Z114" s="299"/>
      <c r="AA114" s="299"/>
      <c r="AB114" s="299"/>
      <c r="AC114" s="299"/>
      <c r="AD114" s="295"/>
      <c r="AE114" s="302"/>
      <c r="AF114" s="302"/>
      <c r="AG114" s="295"/>
      <c r="AH114" s="295"/>
      <c r="AI114" s="302"/>
      <c r="AJ114" s="302"/>
      <c r="AK114" s="302"/>
      <c r="AL114" s="302"/>
      <c r="AM114" s="302"/>
      <c r="AN114" s="302"/>
      <c r="AO114" s="295"/>
      <c r="AP114" s="295"/>
      <c r="AQ114" s="302"/>
      <c r="AR114" s="302"/>
      <c r="AS114" s="295"/>
      <c r="AT114" s="295"/>
      <c r="AU114" s="295"/>
      <c r="AV114" s="295"/>
      <c r="AW114" s="295"/>
      <c r="AX114" s="295"/>
      <c r="AY114" s="295"/>
      <c r="AZ114" s="295"/>
      <c r="BA114" s="302"/>
      <c r="BB114" s="302"/>
      <c r="BC114" s="302"/>
      <c r="BD114" s="295"/>
      <c r="BE114" s="295"/>
      <c r="BF114" s="299"/>
      <c r="BG114" s="299"/>
      <c r="BH114" s="299"/>
      <c r="BI114" s="299"/>
      <c r="BJ114" s="299"/>
      <c r="BK114" s="97"/>
      <c r="BL114" s="97"/>
      <c r="BM114" s="97"/>
      <c r="BN114" s="97"/>
    </row>
    <row r="115" spans="1:66" ht="12.75">
      <c r="A115" s="8"/>
      <c r="B115" s="298"/>
      <c r="C115" s="298"/>
      <c r="D115" s="299"/>
      <c r="E115" s="299"/>
      <c r="F115" s="299"/>
      <c r="G115" s="299"/>
      <c r="H115" s="299"/>
      <c r="I115" s="299"/>
      <c r="J115" s="299"/>
      <c r="K115" s="299"/>
      <c r="L115" s="299"/>
      <c r="M115" s="299"/>
      <c r="N115" s="299"/>
      <c r="O115" s="299"/>
      <c r="P115" s="299"/>
      <c r="Q115" s="299"/>
      <c r="R115" s="299"/>
      <c r="S115" s="299"/>
      <c r="T115" s="299"/>
      <c r="U115" s="299"/>
      <c r="V115" s="299"/>
      <c r="W115" s="299"/>
      <c r="X115" s="299"/>
      <c r="Y115" s="299"/>
      <c r="Z115" s="299"/>
      <c r="AA115" s="299"/>
      <c r="AB115" s="299"/>
      <c r="AC115" s="299"/>
      <c r="AD115" s="295"/>
      <c r="AE115" s="302"/>
      <c r="AF115" s="302"/>
      <c r="AG115" s="295"/>
      <c r="AH115" s="295"/>
      <c r="AI115" s="302"/>
      <c r="AJ115" s="302"/>
      <c r="AK115" s="302"/>
      <c r="AL115" s="302"/>
      <c r="AM115" s="302"/>
      <c r="AN115" s="302"/>
      <c r="AO115" s="295"/>
      <c r="AP115" s="295"/>
      <c r="AQ115" s="302"/>
      <c r="AR115" s="302"/>
      <c r="AS115" s="295"/>
      <c r="AT115" s="295"/>
      <c r="AU115" s="295"/>
      <c r="AV115" s="295"/>
      <c r="AW115" s="295"/>
      <c r="AX115" s="295"/>
      <c r="AY115" s="295"/>
      <c r="AZ115" s="295"/>
      <c r="BA115" s="302"/>
      <c r="BB115" s="302"/>
      <c r="BC115" s="302"/>
      <c r="BD115" s="295"/>
      <c r="BE115" s="295"/>
      <c r="BF115" s="299"/>
      <c r="BG115" s="299"/>
      <c r="BH115" s="299"/>
      <c r="BI115" s="299"/>
      <c r="BJ115" s="299"/>
      <c r="BK115" s="97"/>
      <c r="BL115" s="97"/>
      <c r="BM115" s="97"/>
      <c r="BN115" s="97"/>
    </row>
    <row r="116" spans="1:66" ht="12.75">
      <c r="A116" s="8"/>
      <c r="B116" s="8"/>
      <c r="C116" s="8"/>
      <c r="D116" s="299"/>
      <c r="E116" s="299"/>
      <c r="F116" s="299"/>
      <c r="G116" s="299"/>
      <c r="H116" s="299"/>
      <c r="I116" s="299"/>
      <c r="J116" s="299"/>
      <c r="K116" s="299"/>
      <c r="L116" s="299"/>
      <c r="M116" s="299"/>
      <c r="N116" s="299"/>
      <c r="O116" s="299"/>
      <c r="P116" s="300"/>
      <c r="Q116" s="299"/>
      <c r="R116" s="299"/>
      <c r="S116" s="299"/>
      <c r="T116" s="299"/>
      <c r="U116" s="299"/>
      <c r="V116" s="299"/>
      <c r="W116" s="299"/>
      <c r="X116" s="299"/>
      <c r="Y116" s="299"/>
      <c r="Z116" s="299"/>
      <c r="AA116" s="299"/>
      <c r="AB116" s="299"/>
      <c r="AC116" s="299"/>
      <c r="AD116" s="295"/>
      <c r="AE116" s="301"/>
      <c r="AF116" s="301"/>
      <c r="AG116" s="295"/>
      <c r="AH116" s="295"/>
      <c r="AI116" s="301"/>
      <c r="AJ116" s="301"/>
      <c r="AK116" s="301"/>
      <c r="AL116" s="301"/>
      <c r="AM116" s="301"/>
      <c r="AN116" s="301"/>
      <c r="AO116" s="295"/>
      <c r="AP116" s="296"/>
      <c r="AQ116" s="301"/>
      <c r="AR116" s="301"/>
      <c r="AS116" s="295"/>
      <c r="AT116" s="295"/>
      <c r="AU116" s="295"/>
      <c r="AV116" s="295"/>
      <c r="AW116" s="295"/>
      <c r="AX116" s="295"/>
      <c r="AY116" s="295"/>
      <c r="AZ116" s="295"/>
      <c r="BA116" s="301"/>
      <c r="BB116" s="301"/>
      <c r="BC116" s="301"/>
      <c r="BD116" s="296"/>
      <c r="BE116" s="296"/>
      <c r="BF116" s="297"/>
      <c r="BG116" s="297"/>
      <c r="BH116" s="297"/>
      <c r="BI116" s="297"/>
      <c r="BJ116" s="297"/>
      <c r="BK116" s="97"/>
      <c r="BL116" s="97"/>
      <c r="BM116" s="97"/>
      <c r="BN116" s="97"/>
    </row>
    <row r="117" spans="1:66" ht="12.75">
      <c r="A117" s="8"/>
      <c r="B117" s="8"/>
      <c r="C117" s="8"/>
      <c r="D117" s="299"/>
      <c r="E117" s="299"/>
      <c r="F117" s="299"/>
      <c r="G117" s="299"/>
      <c r="H117" s="299"/>
      <c r="I117" s="299"/>
      <c r="J117" s="299"/>
      <c r="K117" s="299"/>
      <c r="L117" s="299"/>
      <c r="M117" s="299"/>
      <c r="N117" s="299"/>
      <c r="O117" s="299"/>
      <c r="P117" s="300"/>
      <c r="Q117" s="299"/>
      <c r="R117" s="299"/>
      <c r="S117" s="299"/>
      <c r="T117" s="299"/>
      <c r="U117" s="299"/>
      <c r="V117" s="299"/>
      <c r="W117" s="299"/>
      <c r="X117" s="299"/>
      <c r="Y117" s="299"/>
      <c r="Z117" s="299"/>
      <c r="AA117" s="299"/>
      <c r="AB117" s="299"/>
      <c r="AC117" s="299"/>
      <c r="AD117" s="295"/>
      <c r="AE117" s="301"/>
      <c r="AF117" s="301"/>
      <c r="AG117" s="295"/>
      <c r="AH117" s="295"/>
      <c r="AI117" s="301"/>
      <c r="AJ117" s="301"/>
      <c r="AK117" s="301"/>
      <c r="AL117" s="301"/>
      <c r="AM117" s="301"/>
      <c r="AN117" s="301"/>
      <c r="AO117" s="295"/>
      <c r="AP117" s="296"/>
      <c r="AQ117" s="301"/>
      <c r="AR117" s="301"/>
      <c r="AS117" s="295"/>
      <c r="AT117" s="295"/>
      <c r="AU117" s="295"/>
      <c r="AV117" s="295"/>
      <c r="AW117" s="295"/>
      <c r="AX117" s="295"/>
      <c r="AY117" s="295"/>
      <c r="AZ117" s="295"/>
      <c r="BA117" s="301"/>
      <c r="BB117" s="301"/>
      <c r="BC117" s="301"/>
      <c r="BD117" s="296"/>
      <c r="BE117" s="296"/>
      <c r="BF117" s="297"/>
      <c r="BG117" s="297"/>
      <c r="BH117" s="297"/>
      <c r="BI117" s="297"/>
      <c r="BJ117" s="297"/>
      <c r="BK117" s="97"/>
      <c r="BL117" s="97"/>
      <c r="BM117" s="97"/>
      <c r="BN117" s="97"/>
    </row>
    <row r="118" spans="1:66" ht="12.75">
      <c r="A118" s="8"/>
      <c r="B118" s="8"/>
      <c r="C118" s="8"/>
      <c r="D118" s="299"/>
      <c r="E118" s="299"/>
      <c r="F118" s="299"/>
      <c r="G118" s="299"/>
      <c r="H118" s="299"/>
      <c r="I118" s="299"/>
      <c r="J118" s="299"/>
      <c r="K118" s="299"/>
      <c r="L118" s="299"/>
      <c r="M118" s="299"/>
      <c r="N118" s="299"/>
      <c r="O118" s="299"/>
      <c r="P118" s="300"/>
      <c r="Q118" s="299"/>
      <c r="R118" s="299"/>
      <c r="S118" s="299"/>
      <c r="T118" s="299"/>
      <c r="U118" s="299"/>
      <c r="V118" s="299"/>
      <c r="W118" s="299"/>
      <c r="X118" s="299"/>
      <c r="Y118" s="299"/>
      <c r="Z118" s="299"/>
      <c r="AA118" s="299"/>
      <c r="AB118" s="299"/>
      <c r="AC118" s="299"/>
      <c r="AD118" s="295"/>
      <c r="AE118" s="301"/>
      <c r="AF118" s="301"/>
      <c r="AG118" s="295"/>
      <c r="AH118" s="295"/>
      <c r="AI118" s="301"/>
      <c r="AJ118" s="301"/>
      <c r="AK118" s="301"/>
      <c r="AL118" s="301"/>
      <c r="AM118" s="301"/>
      <c r="AN118" s="301"/>
      <c r="AO118" s="295"/>
      <c r="AP118" s="296"/>
      <c r="AQ118" s="301"/>
      <c r="AR118" s="301"/>
      <c r="AS118" s="295"/>
      <c r="AT118" s="295"/>
      <c r="AU118" s="295"/>
      <c r="AV118" s="295"/>
      <c r="AW118" s="295"/>
      <c r="AX118" s="295"/>
      <c r="AY118" s="295"/>
      <c r="AZ118" s="295"/>
      <c r="BA118" s="301"/>
      <c r="BB118" s="301"/>
      <c r="BC118" s="301"/>
      <c r="BD118" s="296"/>
      <c r="BE118" s="296"/>
      <c r="BF118" s="297"/>
      <c r="BG118" s="297"/>
      <c r="BH118" s="297"/>
      <c r="BI118" s="297"/>
      <c r="BJ118" s="297"/>
      <c r="BK118" s="97"/>
      <c r="BL118" s="97"/>
      <c r="BM118" s="97"/>
      <c r="BN118" s="97"/>
    </row>
    <row r="119" spans="1:66" ht="12.75">
      <c r="A119" s="8"/>
      <c r="B119" s="8"/>
      <c r="C119" s="8"/>
      <c r="D119" s="299"/>
      <c r="E119" s="299"/>
      <c r="F119" s="299"/>
      <c r="G119" s="299"/>
      <c r="H119" s="299"/>
      <c r="I119" s="299"/>
      <c r="J119" s="299"/>
      <c r="K119" s="299"/>
      <c r="L119" s="299"/>
      <c r="M119" s="299"/>
      <c r="N119" s="299"/>
      <c r="O119" s="299"/>
      <c r="P119" s="300"/>
      <c r="Q119" s="299"/>
      <c r="R119" s="299"/>
      <c r="S119" s="299"/>
      <c r="T119" s="299"/>
      <c r="U119" s="299"/>
      <c r="V119" s="299"/>
      <c r="W119" s="299"/>
      <c r="X119" s="299"/>
      <c r="Y119" s="299"/>
      <c r="Z119" s="299"/>
      <c r="AA119" s="299"/>
      <c r="AB119" s="299"/>
      <c r="AC119" s="299"/>
      <c r="AD119" s="295"/>
      <c r="AE119" s="301"/>
      <c r="AF119" s="301"/>
      <c r="AG119" s="295"/>
      <c r="AH119" s="295"/>
      <c r="AI119" s="301"/>
      <c r="AJ119" s="301"/>
      <c r="AK119" s="301"/>
      <c r="AL119" s="301"/>
      <c r="AM119" s="301"/>
      <c r="AN119" s="301"/>
      <c r="AO119" s="295"/>
      <c r="AP119" s="296"/>
      <c r="AQ119" s="301"/>
      <c r="AR119" s="301"/>
      <c r="AS119" s="295"/>
      <c r="AT119" s="295"/>
      <c r="AU119" s="295"/>
      <c r="AV119" s="295"/>
      <c r="AW119" s="295"/>
      <c r="AX119" s="295"/>
      <c r="AY119" s="295"/>
      <c r="AZ119" s="295"/>
      <c r="BA119" s="301"/>
      <c r="BB119" s="301"/>
      <c r="BC119" s="301"/>
      <c r="BD119" s="296"/>
      <c r="BE119" s="296"/>
      <c r="BF119" s="297"/>
      <c r="BG119" s="297"/>
      <c r="BH119" s="297"/>
      <c r="BI119" s="297"/>
      <c r="BJ119" s="297"/>
      <c r="BK119" s="97"/>
      <c r="BL119" s="97"/>
      <c r="BM119" s="97"/>
      <c r="BN119" s="97"/>
    </row>
    <row r="120" spans="1:66" ht="12.75">
      <c r="A120" s="8"/>
      <c r="B120" s="8"/>
      <c r="C120" s="8"/>
      <c r="D120" s="299"/>
      <c r="E120" s="299"/>
      <c r="F120" s="299"/>
      <c r="G120" s="299"/>
      <c r="H120" s="299"/>
      <c r="I120" s="299"/>
      <c r="J120" s="299"/>
      <c r="K120" s="299"/>
      <c r="L120" s="299"/>
      <c r="M120" s="299"/>
      <c r="N120" s="299"/>
      <c r="O120" s="299"/>
      <c r="P120" s="300"/>
      <c r="Q120" s="299"/>
      <c r="R120" s="299"/>
      <c r="S120" s="299"/>
      <c r="T120" s="299"/>
      <c r="U120" s="299"/>
      <c r="V120" s="299"/>
      <c r="W120" s="299"/>
      <c r="X120" s="299"/>
      <c r="Y120" s="299"/>
      <c r="Z120" s="299"/>
      <c r="AA120" s="299"/>
      <c r="AB120" s="299"/>
      <c r="AC120" s="299"/>
      <c r="AD120" s="295"/>
      <c r="AE120" s="301"/>
      <c r="AF120" s="301"/>
      <c r="AG120" s="295"/>
      <c r="AH120" s="295"/>
      <c r="AI120" s="301"/>
      <c r="AJ120" s="301"/>
      <c r="AK120" s="301"/>
      <c r="AL120" s="301"/>
      <c r="AM120" s="301"/>
      <c r="AN120" s="301"/>
      <c r="AO120" s="295"/>
      <c r="AP120" s="296"/>
      <c r="AQ120" s="301"/>
      <c r="AR120" s="301"/>
      <c r="AS120" s="295"/>
      <c r="AT120" s="295"/>
      <c r="AU120" s="295"/>
      <c r="AV120" s="295"/>
      <c r="AW120" s="295"/>
      <c r="AX120" s="295"/>
      <c r="AY120" s="295"/>
      <c r="AZ120" s="295"/>
      <c r="BA120" s="301"/>
      <c r="BB120" s="301"/>
      <c r="BC120" s="301"/>
      <c r="BD120" s="296"/>
      <c r="BE120" s="296"/>
      <c r="BF120" s="297"/>
      <c r="BG120" s="297"/>
      <c r="BH120" s="297"/>
      <c r="BI120" s="297"/>
      <c r="BJ120" s="297"/>
      <c r="BK120" s="97"/>
      <c r="BL120" s="97"/>
      <c r="BM120" s="97"/>
      <c r="BN120" s="97"/>
    </row>
    <row r="121" spans="1:66" ht="12.75">
      <c r="A121" s="8"/>
      <c r="B121" s="8"/>
      <c r="C121" s="8"/>
      <c r="D121" s="299"/>
      <c r="E121" s="299"/>
      <c r="F121" s="299"/>
      <c r="G121" s="299"/>
      <c r="H121" s="299"/>
      <c r="I121" s="299"/>
      <c r="J121" s="299"/>
      <c r="K121" s="299"/>
      <c r="L121" s="299"/>
      <c r="M121" s="299"/>
      <c r="N121" s="299"/>
      <c r="O121" s="299"/>
      <c r="P121" s="300"/>
      <c r="Q121" s="299"/>
      <c r="R121" s="299"/>
      <c r="S121" s="299"/>
      <c r="T121" s="299"/>
      <c r="U121" s="299"/>
      <c r="V121" s="299"/>
      <c r="W121" s="299"/>
      <c r="X121" s="299"/>
      <c r="Y121" s="299"/>
      <c r="Z121" s="299"/>
      <c r="AA121" s="299"/>
      <c r="AB121" s="299"/>
      <c r="AC121" s="299"/>
      <c r="AD121" s="295"/>
      <c r="AE121" s="301"/>
      <c r="AF121" s="301"/>
      <c r="AG121" s="295"/>
      <c r="AH121" s="295"/>
      <c r="AI121" s="301"/>
      <c r="AJ121" s="301"/>
      <c r="AK121" s="301"/>
      <c r="AL121" s="301"/>
      <c r="AM121" s="301"/>
      <c r="AN121" s="301"/>
      <c r="AO121" s="295"/>
      <c r="AP121" s="296"/>
      <c r="AQ121" s="301"/>
      <c r="AR121" s="301"/>
      <c r="AS121" s="295"/>
      <c r="AT121" s="295"/>
      <c r="AU121" s="295"/>
      <c r="AV121" s="295"/>
      <c r="AW121" s="295"/>
      <c r="AX121" s="295"/>
      <c r="AY121" s="295"/>
      <c r="AZ121" s="295"/>
      <c r="BA121" s="301"/>
      <c r="BB121" s="301"/>
      <c r="BC121" s="301"/>
      <c r="BD121" s="296"/>
      <c r="BE121" s="296"/>
      <c r="BF121" s="297"/>
      <c r="BG121" s="297"/>
      <c r="BH121" s="297"/>
      <c r="BI121" s="297"/>
      <c r="BJ121" s="297"/>
      <c r="BK121" s="97"/>
      <c r="BL121" s="97"/>
      <c r="BM121" s="97"/>
      <c r="BN121" s="97"/>
    </row>
    <row r="122" spans="1:66" ht="12.75">
      <c r="A122" s="8"/>
      <c r="B122" s="8"/>
      <c r="C122" s="8"/>
      <c r="D122" s="299"/>
      <c r="E122" s="299"/>
      <c r="F122" s="299"/>
      <c r="G122" s="299"/>
      <c r="H122" s="299"/>
      <c r="I122" s="299"/>
      <c r="J122" s="299"/>
      <c r="K122" s="299"/>
      <c r="L122" s="299"/>
      <c r="M122" s="299"/>
      <c r="N122" s="299"/>
      <c r="O122" s="299"/>
      <c r="P122" s="300"/>
      <c r="Q122" s="299"/>
      <c r="R122" s="299"/>
      <c r="S122" s="299"/>
      <c r="T122" s="299"/>
      <c r="U122" s="299"/>
      <c r="V122" s="299"/>
      <c r="W122" s="299"/>
      <c r="X122" s="299"/>
      <c r="Y122" s="299"/>
      <c r="Z122" s="299"/>
      <c r="AA122" s="299"/>
      <c r="AB122" s="299"/>
      <c r="AC122" s="299"/>
      <c r="AD122" s="295"/>
      <c r="AE122" s="301"/>
      <c r="AF122" s="301"/>
      <c r="AG122" s="295"/>
      <c r="AH122" s="295"/>
      <c r="AI122" s="301"/>
      <c r="AJ122" s="301"/>
      <c r="AK122" s="301"/>
      <c r="AL122" s="301"/>
      <c r="AM122" s="301"/>
      <c r="AN122" s="301"/>
      <c r="AO122" s="295"/>
      <c r="AP122" s="296"/>
      <c r="AQ122" s="301"/>
      <c r="AR122" s="301"/>
      <c r="AS122" s="295"/>
      <c r="AT122" s="295"/>
      <c r="AU122" s="295"/>
      <c r="AV122" s="295"/>
      <c r="AW122" s="295"/>
      <c r="AX122" s="295"/>
      <c r="AY122" s="295"/>
      <c r="AZ122" s="295"/>
      <c r="BA122" s="302"/>
      <c r="BB122" s="302"/>
      <c r="BC122" s="302"/>
      <c r="BD122" s="296"/>
      <c r="BE122" s="296"/>
      <c r="BF122" s="297"/>
      <c r="BG122" s="297"/>
      <c r="BH122" s="297"/>
      <c r="BI122" s="297"/>
      <c r="BJ122" s="297"/>
      <c r="BK122" s="97"/>
      <c r="BL122" s="97"/>
      <c r="BM122" s="97"/>
      <c r="BN122" s="97"/>
    </row>
    <row r="123" spans="1:66" ht="12.75">
      <c r="A123" s="8"/>
      <c r="B123" s="8"/>
      <c r="C123" s="8"/>
      <c r="D123" s="299"/>
      <c r="E123" s="299"/>
      <c r="F123" s="299"/>
      <c r="G123" s="299"/>
      <c r="H123" s="299"/>
      <c r="I123" s="299"/>
      <c r="J123" s="299"/>
      <c r="K123" s="299"/>
      <c r="L123" s="299"/>
      <c r="M123" s="299"/>
      <c r="N123" s="299"/>
      <c r="O123" s="299"/>
      <c r="P123" s="300"/>
      <c r="Q123" s="299"/>
      <c r="R123" s="299"/>
      <c r="S123" s="299"/>
      <c r="T123" s="299"/>
      <c r="U123" s="299"/>
      <c r="V123" s="299"/>
      <c r="W123" s="299"/>
      <c r="X123" s="299"/>
      <c r="Y123" s="299"/>
      <c r="Z123" s="299"/>
      <c r="AA123" s="299"/>
      <c r="AB123" s="299"/>
      <c r="AC123" s="299"/>
      <c r="AD123" s="295"/>
      <c r="AE123" s="301"/>
      <c r="AF123" s="301"/>
      <c r="AG123" s="295"/>
      <c r="AH123" s="295"/>
      <c r="AI123" s="301"/>
      <c r="AJ123" s="301"/>
      <c r="AK123" s="301"/>
      <c r="AL123" s="301"/>
      <c r="AM123" s="301"/>
      <c r="AN123" s="301"/>
      <c r="AO123" s="295"/>
      <c r="AP123" s="296"/>
      <c r="AQ123" s="301"/>
      <c r="AR123" s="301"/>
      <c r="AS123" s="295"/>
      <c r="AT123" s="295"/>
      <c r="AU123" s="295"/>
      <c r="AV123" s="295"/>
      <c r="AW123" s="295"/>
      <c r="AX123" s="295"/>
      <c r="AY123" s="295"/>
      <c r="AZ123" s="295"/>
      <c r="BA123" s="301"/>
      <c r="BB123" s="301"/>
      <c r="BC123" s="301"/>
      <c r="BD123" s="296"/>
      <c r="BE123" s="296"/>
      <c r="BF123" s="297"/>
      <c r="BG123" s="297"/>
      <c r="BH123" s="297"/>
      <c r="BI123" s="297"/>
      <c r="BJ123" s="297"/>
      <c r="BK123" s="97"/>
      <c r="BL123" s="97"/>
      <c r="BM123" s="97"/>
      <c r="BN123" s="97"/>
    </row>
    <row r="124" spans="1:66" ht="12.75">
      <c r="A124" s="8"/>
      <c r="B124" s="8"/>
      <c r="C124" s="8"/>
      <c r="D124" s="299"/>
      <c r="E124" s="299"/>
      <c r="F124" s="299"/>
      <c r="G124" s="299"/>
      <c r="H124" s="299"/>
      <c r="I124" s="299"/>
      <c r="J124" s="299"/>
      <c r="K124" s="299"/>
      <c r="L124" s="299"/>
      <c r="M124" s="299"/>
      <c r="N124" s="299"/>
      <c r="O124" s="299"/>
      <c r="P124" s="300"/>
      <c r="Q124" s="299"/>
      <c r="R124" s="299"/>
      <c r="S124" s="299"/>
      <c r="T124" s="299"/>
      <c r="U124" s="299"/>
      <c r="V124" s="299"/>
      <c r="W124" s="299"/>
      <c r="X124" s="299"/>
      <c r="Y124" s="299"/>
      <c r="Z124" s="299"/>
      <c r="AA124" s="299"/>
      <c r="AB124" s="299"/>
      <c r="AC124" s="299"/>
      <c r="AD124" s="295"/>
      <c r="AE124" s="301"/>
      <c r="AF124" s="301"/>
      <c r="AG124" s="295"/>
      <c r="AH124" s="295"/>
      <c r="AI124" s="301"/>
      <c r="AJ124" s="301"/>
      <c r="AK124" s="301"/>
      <c r="AL124" s="301"/>
      <c r="AM124" s="301"/>
      <c r="AN124" s="301"/>
      <c r="AO124" s="295"/>
      <c r="AP124" s="296"/>
      <c r="AQ124" s="301"/>
      <c r="AR124" s="301"/>
      <c r="AS124" s="295"/>
      <c r="AT124" s="295"/>
      <c r="AU124" s="295"/>
      <c r="AV124" s="295"/>
      <c r="AW124" s="295"/>
      <c r="AX124" s="295"/>
      <c r="AY124" s="295"/>
      <c r="AZ124" s="295"/>
      <c r="BA124" s="301"/>
      <c r="BB124" s="301"/>
      <c r="BC124" s="301"/>
      <c r="BD124" s="296"/>
      <c r="BE124" s="296"/>
      <c r="BF124" s="297"/>
      <c r="BG124" s="297"/>
      <c r="BH124" s="297"/>
      <c r="BI124" s="297"/>
      <c r="BJ124" s="297"/>
      <c r="BK124" s="97"/>
      <c r="BL124" s="97"/>
      <c r="BM124" s="97"/>
      <c r="BN124" s="97"/>
    </row>
    <row r="125" spans="1:66" ht="12.75">
      <c r="A125" s="8"/>
      <c r="B125" s="8"/>
      <c r="C125" s="8"/>
      <c r="D125" s="299"/>
      <c r="E125" s="299"/>
      <c r="F125" s="299"/>
      <c r="G125" s="299"/>
      <c r="H125" s="299"/>
      <c r="I125" s="299"/>
      <c r="J125" s="299"/>
      <c r="K125" s="299"/>
      <c r="L125" s="299"/>
      <c r="M125" s="299"/>
      <c r="N125" s="299"/>
      <c r="O125" s="299"/>
      <c r="P125" s="300"/>
      <c r="Q125" s="299"/>
      <c r="R125" s="299"/>
      <c r="S125" s="299"/>
      <c r="T125" s="299"/>
      <c r="U125" s="299"/>
      <c r="V125" s="299"/>
      <c r="W125" s="299"/>
      <c r="X125" s="299"/>
      <c r="Y125" s="299"/>
      <c r="Z125" s="299"/>
      <c r="AA125" s="299"/>
      <c r="AB125" s="299"/>
      <c r="AC125" s="299"/>
      <c r="AD125" s="295"/>
      <c r="AE125" s="301"/>
      <c r="AF125" s="301"/>
      <c r="AG125" s="295"/>
      <c r="AH125" s="295"/>
      <c r="AI125" s="301"/>
      <c r="AJ125" s="301"/>
      <c r="AK125" s="301"/>
      <c r="AL125" s="301"/>
      <c r="AM125" s="301"/>
      <c r="AN125" s="301"/>
      <c r="AO125" s="295"/>
      <c r="AP125" s="296"/>
      <c r="AQ125" s="301"/>
      <c r="AR125" s="301"/>
      <c r="AS125" s="295"/>
      <c r="AT125" s="295"/>
      <c r="AU125" s="295"/>
      <c r="AV125" s="295"/>
      <c r="AW125" s="295"/>
      <c r="AX125" s="295"/>
      <c r="AY125" s="295"/>
      <c r="AZ125" s="295"/>
      <c r="BA125" s="301"/>
      <c r="BB125" s="301"/>
      <c r="BC125" s="301"/>
      <c r="BD125" s="296"/>
      <c r="BE125" s="296"/>
      <c r="BF125" s="297"/>
      <c r="BG125" s="297"/>
      <c r="BH125" s="297"/>
      <c r="BI125" s="297"/>
      <c r="BJ125" s="297"/>
      <c r="BK125" s="97"/>
      <c r="BL125" s="97"/>
      <c r="BM125" s="97"/>
      <c r="BN125" s="97"/>
    </row>
    <row r="126" spans="1:66" ht="12.75">
      <c r="A126" s="8"/>
      <c r="B126" s="8"/>
      <c r="C126" s="8"/>
      <c r="D126" s="299"/>
      <c r="E126" s="299"/>
      <c r="F126" s="299"/>
      <c r="G126" s="299"/>
      <c r="H126" s="299"/>
      <c r="I126" s="299"/>
      <c r="J126" s="299"/>
      <c r="K126" s="299"/>
      <c r="L126" s="299"/>
      <c r="M126" s="299"/>
      <c r="N126" s="299"/>
      <c r="O126" s="299"/>
      <c r="P126" s="300"/>
      <c r="Q126" s="299"/>
      <c r="R126" s="299"/>
      <c r="S126" s="299"/>
      <c r="T126" s="299"/>
      <c r="U126" s="299"/>
      <c r="V126" s="299"/>
      <c r="W126" s="299"/>
      <c r="X126" s="299"/>
      <c r="Y126" s="299"/>
      <c r="Z126" s="299"/>
      <c r="AA126" s="299"/>
      <c r="AB126" s="299"/>
      <c r="AC126" s="299"/>
      <c r="AD126" s="295"/>
      <c r="AE126" s="301"/>
      <c r="AF126" s="301"/>
      <c r="AG126" s="295"/>
      <c r="AH126" s="295"/>
      <c r="AI126" s="301"/>
      <c r="AJ126" s="301"/>
      <c r="AK126" s="301"/>
      <c r="AL126" s="301"/>
      <c r="AM126" s="301"/>
      <c r="AN126" s="301"/>
      <c r="AO126" s="295"/>
      <c r="AP126" s="296"/>
      <c r="AQ126" s="301"/>
      <c r="AR126" s="301"/>
      <c r="AS126" s="295"/>
      <c r="AT126" s="295"/>
      <c r="AU126" s="295"/>
      <c r="AV126" s="295"/>
      <c r="AW126" s="295"/>
      <c r="AX126" s="295"/>
      <c r="AY126" s="295"/>
      <c r="AZ126" s="295"/>
      <c r="BA126" s="301"/>
      <c r="BB126" s="301"/>
      <c r="BC126" s="301"/>
      <c r="BD126" s="296"/>
      <c r="BE126" s="296"/>
      <c r="BF126" s="297"/>
      <c r="BG126" s="297"/>
      <c r="BH126" s="297"/>
      <c r="BI126" s="297"/>
      <c r="BJ126" s="297"/>
      <c r="BK126" s="97"/>
      <c r="BL126" s="97"/>
      <c r="BM126" s="97"/>
      <c r="BN126" s="97"/>
    </row>
    <row r="127" spans="1:66" ht="12.75">
      <c r="A127" s="8"/>
      <c r="B127" s="8"/>
      <c r="C127" s="8"/>
      <c r="D127" s="299"/>
      <c r="E127" s="299"/>
      <c r="F127" s="299"/>
      <c r="G127" s="299"/>
      <c r="H127" s="299"/>
      <c r="I127" s="299"/>
      <c r="J127" s="299"/>
      <c r="K127" s="299"/>
      <c r="L127" s="299"/>
      <c r="M127" s="299"/>
      <c r="N127" s="299"/>
      <c r="O127" s="299"/>
      <c r="P127" s="300"/>
      <c r="Q127" s="299"/>
      <c r="R127" s="299"/>
      <c r="S127" s="299"/>
      <c r="T127" s="299"/>
      <c r="U127" s="299"/>
      <c r="V127" s="299"/>
      <c r="W127" s="299"/>
      <c r="X127" s="299"/>
      <c r="Y127" s="299"/>
      <c r="Z127" s="299"/>
      <c r="AA127" s="299"/>
      <c r="AB127" s="299"/>
      <c r="AC127" s="299"/>
      <c r="AD127" s="295"/>
      <c r="AE127" s="301"/>
      <c r="AF127" s="301"/>
      <c r="AG127" s="295"/>
      <c r="AH127" s="295"/>
      <c r="AI127" s="301"/>
      <c r="AJ127" s="301"/>
      <c r="AK127" s="301"/>
      <c r="AL127" s="301"/>
      <c r="AM127" s="301"/>
      <c r="AN127" s="301"/>
      <c r="AO127" s="295"/>
      <c r="AP127" s="296"/>
      <c r="AQ127" s="301"/>
      <c r="AR127" s="301"/>
      <c r="AS127" s="295"/>
      <c r="AT127" s="295"/>
      <c r="AU127" s="295"/>
      <c r="AV127" s="295"/>
      <c r="AW127" s="295"/>
      <c r="AX127" s="295"/>
      <c r="AY127" s="295"/>
      <c r="AZ127" s="295"/>
      <c r="BA127" s="301"/>
      <c r="BB127" s="301"/>
      <c r="BC127" s="301"/>
      <c r="BD127" s="296"/>
      <c r="BE127" s="296"/>
      <c r="BF127" s="297"/>
      <c r="BG127" s="297"/>
      <c r="BH127" s="297"/>
      <c r="BI127" s="297"/>
      <c r="BJ127" s="297"/>
      <c r="BK127" s="97"/>
      <c r="BL127" s="97"/>
      <c r="BM127" s="97"/>
      <c r="BN127" s="97"/>
    </row>
    <row r="128" spans="1:66" ht="12.75">
      <c r="A128" s="8"/>
      <c r="B128" s="8"/>
      <c r="C128" s="8"/>
      <c r="D128" s="299"/>
      <c r="E128" s="299"/>
      <c r="F128" s="299"/>
      <c r="G128" s="299"/>
      <c r="H128" s="299"/>
      <c r="I128" s="299"/>
      <c r="J128" s="299"/>
      <c r="K128" s="299"/>
      <c r="L128" s="299"/>
      <c r="M128" s="299"/>
      <c r="N128" s="299"/>
      <c r="O128" s="299"/>
      <c r="P128" s="300"/>
      <c r="Q128" s="299"/>
      <c r="R128" s="299"/>
      <c r="S128" s="299"/>
      <c r="T128" s="299"/>
      <c r="U128" s="299"/>
      <c r="V128" s="299"/>
      <c r="W128" s="299"/>
      <c r="X128" s="299"/>
      <c r="Y128" s="299"/>
      <c r="Z128" s="299"/>
      <c r="AA128" s="299"/>
      <c r="AB128" s="299"/>
      <c r="AC128" s="299"/>
      <c r="AD128" s="295"/>
      <c r="AE128" s="301"/>
      <c r="AF128" s="301"/>
      <c r="AG128" s="295"/>
      <c r="AH128" s="295"/>
      <c r="AI128" s="301"/>
      <c r="AJ128" s="301"/>
      <c r="AK128" s="301"/>
      <c r="AL128" s="301"/>
      <c r="AM128" s="301"/>
      <c r="AN128" s="301"/>
      <c r="AO128" s="295"/>
      <c r="AP128" s="296"/>
      <c r="AQ128" s="301"/>
      <c r="AR128" s="301"/>
      <c r="AS128" s="295"/>
      <c r="AT128" s="295"/>
      <c r="AU128" s="295"/>
      <c r="AV128" s="295"/>
      <c r="AW128" s="295"/>
      <c r="AX128" s="295"/>
      <c r="AY128" s="295"/>
      <c r="AZ128" s="295"/>
      <c r="BA128" s="301"/>
      <c r="BB128" s="301"/>
      <c r="BC128" s="301"/>
      <c r="BD128" s="296"/>
      <c r="BE128" s="296"/>
      <c r="BF128" s="297"/>
      <c r="BG128" s="297"/>
      <c r="BH128" s="297"/>
      <c r="BI128" s="297"/>
      <c r="BJ128" s="297"/>
      <c r="BK128" s="97"/>
      <c r="BL128" s="97"/>
      <c r="BM128" s="97"/>
      <c r="BN128" s="97"/>
    </row>
    <row r="129" spans="1:66" ht="12.75">
      <c r="A129" s="8"/>
      <c r="B129" s="8"/>
      <c r="C129" s="8"/>
      <c r="D129" s="299"/>
      <c r="E129" s="299"/>
      <c r="F129" s="299"/>
      <c r="G129" s="299"/>
      <c r="H129" s="299"/>
      <c r="I129" s="299"/>
      <c r="J129" s="299"/>
      <c r="K129" s="299"/>
      <c r="L129" s="299"/>
      <c r="M129" s="299"/>
      <c r="N129" s="299"/>
      <c r="O129" s="299"/>
      <c r="P129" s="300"/>
      <c r="Q129" s="299"/>
      <c r="R129" s="299"/>
      <c r="S129" s="299"/>
      <c r="T129" s="299"/>
      <c r="U129" s="299"/>
      <c r="V129" s="299"/>
      <c r="W129" s="299"/>
      <c r="X129" s="299"/>
      <c r="Y129" s="299"/>
      <c r="Z129" s="299"/>
      <c r="AA129" s="299"/>
      <c r="AB129" s="299"/>
      <c r="AC129" s="299"/>
      <c r="AD129" s="295"/>
      <c r="AE129" s="301"/>
      <c r="AF129" s="301"/>
      <c r="AG129" s="295"/>
      <c r="AH129" s="295"/>
      <c r="AI129" s="301"/>
      <c r="AJ129" s="301"/>
      <c r="AK129" s="301"/>
      <c r="AL129" s="301"/>
      <c r="AM129" s="301"/>
      <c r="AN129" s="301"/>
      <c r="AO129" s="295"/>
      <c r="AP129" s="296"/>
      <c r="AQ129" s="301"/>
      <c r="AR129" s="301"/>
      <c r="AS129" s="295"/>
      <c r="AT129" s="295"/>
      <c r="AU129" s="295"/>
      <c r="AV129" s="295"/>
      <c r="AW129" s="295"/>
      <c r="AX129" s="295"/>
      <c r="AY129" s="295"/>
      <c r="AZ129" s="295"/>
      <c r="BA129" s="301"/>
      <c r="BB129" s="301"/>
      <c r="BC129" s="301"/>
      <c r="BD129" s="296"/>
      <c r="BE129" s="296"/>
      <c r="BF129" s="297"/>
      <c r="BG129" s="297"/>
      <c r="BH129" s="297"/>
      <c r="BI129" s="297"/>
      <c r="BJ129" s="297"/>
      <c r="BK129" s="97"/>
      <c r="BL129" s="97"/>
      <c r="BM129" s="97"/>
      <c r="BN129" s="97"/>
    </row>
    <row r="130" spans="1:66" ht="12.75">
      <c r="A130" s="8"/>
      <c r="B130" s="8"/>
      <c r="C130" s="8"/>
      <c r="D130" s="299"/>
      <c r="E130" s="299"/>
      <c r="F130" s="299"/>
      <c r="G130" s="299"/>
      <c r="H130" s="299"/>
      <c r="I130" s="299"/>
      <c r="J130" s="299"/>
      <c r="K130" s="299"/>
      <c r="L130" s="299"/>
      <c r="M130" s="299"/>
      <c r="N130" s="299"/>
      <c r="O130" s="299"/>
      <c r="P130" s="300"/>
      <c r="Q130" s="299"/>
      <c r="R130" s="299"/>
      <c r="S130" s="299"/>
      <c r="T130" s="299"/>
      <c r="U130" s="299"/>
      <c r="V130" s="299"/>
      <c r="W130" s="299"/>
      <c r="X130" s="299"/>
      <c r="Y130" s="299"/>
      <c r="Z130" s="299"/>
      <c r="AA130" s="299"/>
      <c r="AB130" s="299"/>
      <c r="AC130" s="299"/>
      <c r="AD130" s="295"/>
      <c r="AE130" s="301"/>
      <c r="AF130" s="301"/>
      <c r="AG130" s="295"/>
      <c r="AH130" s="295"/>
      <c r="AI130" s="301"/>
      <c r="AJ130" s="301"/>
      <c r="AK130" s="301"/>
      <c r="AL130" s="301"/>
      <c r="AM130" s="301"/>
      <c r="AN130" s="301"/>
      <c r="AO130" s="295"/>
      <c r="AP130" s="296"/>
      <c r="AQ130" s="301"/>
      <c r="AR130" s="301"/>
      <c r="AS130" s="295"/>
      <c r="AT130" s="295"/>
      <c r="AU130" s="295"/>
      <c r="AV130" s="295"/>
      <c r="AW130" s="295"/>
      <c r="AX130" s="295"/>
      <c r="AY130" s="295"/>
      <c r="AZ130" s="295"/>
      <c r="BA130" s="301"/>
      <c r="BB130" s="301"/>
      <c r="BC130" s="301"/>
      <c r="BD130" s="296"/>
      <c r="BE130" s="296"/>
      <c r="BF130" s="297"/>
      <c r="BG130" s="297"/>
      <c r="BH130" s="297"/>
      <c r="BI130" s="297"/>
      <c r="BJ130" s="297"/>
      <c r="BK130" s="97"/>
      <c r="BL130" s="97"/>
      <c r="BM130" s="97"/>
      <c r="BN130" s="97"/>
    </row>
    <row r="131" spans="1:66" ht="12.75">
      <c r="A131" s="8"/>
      <c r="B131" s="8"/>
      <c r="C131" s="8"/>
      <c r="D131" s="299"/>
      <c r="E131" s="299"/>
      <c r="F131" s="299"/>
      <c r="G131" s="299"/>
      <c r="H131" s="299"/>
      <c r="I131" s="299"/>
      <c r="J131" s="299"/>
      <c r="K131" s="299"/>
      <c r="L131" s="299"/>
      <c r="M131" s="299"/>
      <c r="N131" s="299"/>
      <c r="O131" s="299"/>
      <c r="P131" s="300"/>
      <c r="Q131" s="299"/>
      <c r="R131" s="299"/>
      <c r="S131" s="299"/>
      <c r="T131" s="299"/>
      <c r="U131" s="299"/>
      <c r="V131" s="299"/>
      <c r="W131" s="299"/>
      <c r="X131" s="299"/>
      <c r="Y131" s="299"/>
      <c r="Z131" s="299"/>
      <c r="AA131" s="299"/>
      <c r="AB131" s="299"/>
      <c r="AC131" s="299"/>
      <c r="AD131" s="295"/>
      <c r="AE131" s="301"/>
      <c r="AF131" s="301"/>
      <c r="AG131" s="295"/>
      <c r="AH131" s="295"/>
      <c r="AI131" s="301"/>
      <c r="AJ131" s="301"/>
      <c r="AK131" s="301"/>
      <c r="AL131" s="301"/>
      <c r="AM131" s="301"/>
      <c r="AN131" s="301"/>
      <c r="AO131" s="295"/>
      <c r="AP131" s="296"/>
      <c r="AQ131" s="301"/>
      <c r="AR131" s="301"/>
      <c r="AS131" s="295"/>
      <c r="AT131" s="295"/>
      <c r="AU131" s="295"/>
      <c r="AV131" s="295"/>
      <c r="AW131" s="295"/>
      <c r="AX131" s="295"/>
      <c r="AY131" s="295"/>
      <c r="AZ131" s="295"/>
      <c r="BA131" s="301"/>
      <c r="BB131" s="301"/>
      <c r="BC131" s="301"/>
      <c r="BD131" s="296"/>
      <c r="BE131" s="296"/>
      <c r="BF131" s="297"/>
      <c r="BG131" s="297"/>
      <c r="BH131" s="297"/>
      <c r="BI131" s="297"/>
      <c r="BJ131" s="297"/>
      <c r="BK131" s="97"/>
      <c r="BL131" s="97"/>
      <c r="BM131" s="97"/>
      <c r="BN131" s="97"/>
    </row>
    <row r="132" spans="1:66" ht="12.75">
      <c r="A132" s="8"/>
      <c r="B132" s="298"/>
      <c r="C132" s="298"/>
      <c r="D132" s="299"/>
      <c r="E132" s="299"/>
      <c r="F132" s="299"/>
      <c r="G132" s="299"/>
      <c r="H132" s="299"/>
      <c r="I132" s="299"/>
      <c r="J132" s="299"/>
      <c r="K132" s="299"/>
      <c r="L132" s="299"/>
      <c r="M132" s="299"/>
      <c r="N132" s="299"/>
      <c r="O132" s="299"/>
      <c r="P132" s="299"/>
      <c r="Q132" s="299"/>
      <c r="R132" s="299"/>
      <c r="S132" s="299"/>
      <c r="T132" s="299"/>
      <c r="U132" s="299"/>
      <c r="V132" s="299"/>
      <c r="W132" s="299"/>
      <c r="X132" s="299"/>
      <c r="Y132" s="299"/>
      <c r="Z132" s="299"/>
      <c r="AA132" s="299"/>
      <c r="AB132" s="299"/>
      <c r="AC132" s="299"/>
      <c r="AD132" s="295"/>
      <c r="AE132" s="302"/>
      <c r="AF132" s="302"/>
      <c r="AG132" s="295"/>
      <c r="AH132" s="295"/>
      <c r="AI132" s="302"/>
      <c r="AJ132" s="302"/>
      <c r="AK132" s="302"/>
      <c r="AL132" s="302"/>
      <c r="AM132" s="302"/>
      <c r="AN132" s="302"/>
      <c r="AO132" s="295"/>
      <c r="AP132" s="295"/>
      <c r="AQ132" s="302"/>
      <c r="AR132" s="302"/>
      <c r="AS132" s="295"/>
      <c r="AT132" s="295"/>
      <c r="AU132" s="295"/>
      <c r="AV132" s="295"/>
      <c r="AW132" s="295"/>
      <c r="AX132" s="295"/>
      <c r="AY132" s="295"/>
      <c r="AZ132" s="295"/>
      <c r="BA132" s="302"/>
      <c r="BB132" s="302"/>
      <c r="BC132" s="302"/>
      <c r="BD132" s="295"/>
      <c r="BE132" s="295"/>
      <c r="BF132" s="299"/>
      <c r="BG132" s="299"/>
      <c r="BH132" s="299"/>
      <c r="BI132" s="299"/>
      <c r="BJ132" s="299"/>
      <c r="BK132" s="97"/>
      <c r="BL132" s="97"/>
      <c r="BM132" s="97"/>
      <c r="BN132" s="97"/>
    </row>
    <row r="133" spans="1:66" ht="12.75">
      <c r="A133" s="8"/>
      <c r="B133" s="298"/>
      <c r="C133" s="298"/>
      <c r="D133" s="299"/>
      <c r="E133" s="299"/>
      <c r="F133" s="299"/>
      <c r="G133" s="299"/>
      <c r="H133" s="299"/>
      <c r="I133" s="299"/>
      <c r="J133" s="299"/>
      <c r="K133" s="299"/>
      <c r="L133" s="299"/>
      <c r="M133" s="299"/>
      <c r="N133" s="299"/>
      <c r="O133" s="299"/>
      <c r="P133" s="299"/>
      <c r="Q133" s="299"/>
      <c r="R133" s="299"/>
      <c r="S133" s="299"/>
      <c r="T133" s="299"/>
      <c r="U133" s="299"/>
      <c r="V133" s="299"/>
      <c r="W133" s="299"/>
      <c r="X133" s="299"/>
      <c r="Y133" s="299"/>
      <c r="Z133" s="299"/>
      <c r="AA133" s="299"/>
      <c r="AB133" s="299"/>
      <c r="AC133" s="299"/>
      <c r="AD133" s="295"/>
      <c r="AE133" s="302"/>
      <c r="AF133" s="302"/>
      <c r="AG133" s="295"/>
      <c r="AH133" s="295"/>
      <c r="AI133" s="302"/>
      <c r="AJ133" s="302"/>
      <c r="AK133" s="302"/>
      <c r="AL133" s="302"/>
      <c r="AM133" s="302"/>
      <c r="AN133" s="302"/>
      <c r="AO133" s="295"/>
      <c r="AP133" s="295"/>
      <c r="AQ133" s="302"/>
      <c r="AR133" s="302"/>
      <c r="AS133" s="295"/>
      <c r="AT133" s="295"/>
      <c r="AU133" s="295"/>
      <c r="AV133" s="295"/>
      <c r="AW133" s="295"/>
      <c r="AX133" s="295"/>
      <c r="AY133" s="295"/>
      <c r="AZ133" s="295"/>
      <c r="BA133" s="302"/>
      <c r="BB133" s="302"/>
      <c r="BC133" s="302"/>
      <c r="BD133" s="295"/>
      <c r="BE133" s="295"/>
      <c r="BF133" s="299"/>
      <c r="BG133" s="299"/>
      <c r="BH133" s="299"/>
      <c r="BI133" s="299"/>
      <c r="BJ133" s="299"/>
      <c r="BK133" s="97"/>
      <c r="BL133" s="97"/>
      <c r="BM133" s="97"/>
      <c r="BN133" s="97"/>
    </row>
    <row r="134" spans="1:66" ht="12.75">
      <c r="A134" s="8"/>
      <c r="B134" s="8"/>
      <c r="C134" s="8"/>
      <c r="D134" s="299"/>
      <c r="E134" s="299"/>
      <c r="F134" s="299"/>
      <c r="G134" s="299"/>
      <c r="H134" s="299"/>
      <c r="I134" s="299"/>
      <c r="J134" s="299"/>
      <c r="K134" s="299"/>
      <c r="L134" s="299"/>
      <c r="M134" s="299"/>
      <c r="N134" s="299"/>
      <c r="O134" s="299"/>
      <c r="P134" s="300"/>
      <c r="Q134" s="299"/>
      <c r="R134" s="299"/>
      <c r="S134" s="299"/>
      <c r="T134" s="299"/>
      <c r="U134" s="299"/>
      <c r="V134" s="299"/>
      <c r="W134" s="299"/>
      <c r="X134" s="299"/>
      <c r="Y134" s="299"/>
      <c r="Z134" s="299"/>
      <c r="AA134" s="299"/>
      <c r="AB134" s="299"/>
      <c r="AC134" s="299"/>
      <c r="AD134" s="295"/>
      <c r="AE134" s="301"/>
      <c r="AF134" s="301"/>
      <c r="AG134" s="295"/>
      <c r="AH134" s="295"/>
      <c r="AI134" s="301"/>
      <c r="AJ134" s="301"/>
      <c r="AK134" s="301"/>
      <c r="AL134" s="301"/>
      <c r="AM134" s="301"/>
      <c r="AN134" s="301"/>
      <c r="AO134" s="295"/>
      <c r="AP134" s="296"/>
      <c r="AQ134" s="301"/>
      <c r="AR134" s="301"/>
      <c r="AS134" s="295"/>
      <c r="AT134" s="295"/>
      <c r="AU134" s="295"/>
      <c r="AV134" s="295"/>
      <c r="AW134" s="295"/>
      <c r="AX134" s="295"/>
      <c r="AY134" s="295"/>
      <c r="AZ134" s="295"/>
      <c r="BA134" s="301"/>
      <c r="BB134" s="301"/>
      <c r="BC134" s="301"/>
      <c r="BD134" s="296"/>
      <c r="BE134" s="296"/>
      <c r="BF134" s="297"/>
      <c r="BG134" s="297"/>
      <c r="BH134" s="297"/>
      <c r="BI134" s="297"/>
      <c r="BJ134" s="297"/>
      <c r="BK134" s="97"/>
      <c r="BL134" s="97"/>
      <c r="BM134" s="97"/>
      <c r="BN134" s="97"/>
    </row>
    <row r="135" spans="1:66" ht="12.75">
      <c r="A135" s="8"/>
      <c r="B135" s="8"/>
      <c r="C135" s="8"/>
      <c r="D135" s="299"/>
      <c r="E135" s="299"/>
      <c r="F135" s="299"/>
      <c r="G135" s="299"/>
      <c r="H135" s="299"/>
      <c r="I135" s="299"/>
      <c r="J135" s="299"/>
      <c r="K135" s="299"/>
      <c r="L135" s="299"/>
      <c r="M135" s="299"/>
      <c r="N135" s="299"/>
      <c r="O135" s="299"/>
      <c r="P135" s="300"/>
      <c r="Q135" s="299"/>
      <c r="R135" s="299"/>
      <c r="S135" s="299"/>
      <c r="T135" s="299"/>
      <c r="U135" s="299"/>
      <c r="V135" s="299"/>
      <c r="W135" s="299"/>
      <c r="X135" s="299"/>
      <c r="Y135" s="299"/>
      <c r="Z135" s="299"/>
      <c r="AA135" s="299"/>
      <c r="AB135" s="299"/>
      <c r="AC135" s="299"/>
      <c r="AD135" s="295"/>
      <c r="AE135" s="301"/>
      <c r="AF135" s="301"/>
      <c r="AG135" s="295"/>
      <c r="AH135" s="295"/>
      <c r="AI135" s="301"/>
      <c r="AJ135" s="301"/>
      <c r="AK135" s="301"/>
      <c r="AL135" s="301"/>
      <c r="AM135" s="301"/>
      <c r="AN135" s="301"/>
      <c r="AO135" s="295"/>
      <c r="AP135" s="296"/>
      <c r="AQ135" s="301"/>
      <c r="AR135" s="301"/>
      <c r="AS135" s="295"/>
      <c r="AT135" s="295"/>
      <c r="AU135" s="295"/>
      <c r="AV135" s="295"/>
      <c r="AW135" s="295"/>
      <c r="AX135" s="295"/>
      <c r="AY135" s="295"/>
      <c r="AZ135" s="295"/>
      <c r="BA135" s="302"/>
      <c r="BB135" s="302"/>
      <c r="BC135" s="302"/>
      <c r="BD135" s="296"/>
      <c r="BE135" s="296"/>
      <c r="BF135" s="297"/>
      <c r="BG135" s="297"/>
      <c r="BH135" s="297"/>
      <c r="BI135" s="297"/>
      <c r="BJ135" s="297"/>
      <c r="BK135" s="97"/>
      <c r="BL135" s="97"/>
      <c r="BM135" s="97"/>
      <c r="BN135" s="97"/>
    </row>
    <row r="136" spans="1:66" ht="12.75">
      <c r="A136" s="8"/>
      <c r="B136" s="8"/>
      <c r="C136" s="8"/>
      <c r="D136" s="299"/>
      <c r="E136" s="299"/>
      <c r="F136" s="299"/>
      <c r="G136" s="299"/>
      <c r="H136" s="299"/>
      <c r="I136" s="299"/>
      <c r="J136" s="299"/>
      <c r="K136" s="299"/>
      <c r="L136" s="299"/>
      <c r="M136" s="299"/>
      <c r="N136" s="299"/>
      <c r="O136" s="299"/>
      <c r="P136" s="300"/>
      <c r="Q136" s="299"/>
      <c r="R136" s="299"/>
      <c r="S136" s="299"/>
      <c r="T136" s="299"/>
      <c r="U136" s="299"/>
      <c r="V136" s="299"/>
      <c r="W136" s="299"/>
      <c r="X136" s="299"/>
      <c r="Y136" s="299"/>
      <c r="Z136" s="299"/>
      <c r="AA136" s="299"/>
      <c r="AB136" s="299"/>
      <c r="AC136" s="299"/>
      <c r="AD136" s="295"/>
      <c r="AE136" s="301"/>
      <c r="AF136" s="301"/>
      <c r="AG136" s="295"/>
      <c r="AH136" s="295"/>
      <c r="AI136" s="301"/>
      <c r="AJ136" s="301"/>
      <c r="AK136" s="301"/>
      <c r="AL136" s="301"/>
      <c r="AM136" s="301"/>
      <c r="AN136" s="301"/>
      <c r="AO136" s="295"/>
      <c r="AP136" s="296"/>
      <c r="AQ136" s="301"/>
      <c r="AR136" s="301"/>
      <c r="AS136" s="295"/>
      <c r="AT136" s="295"/>
      <c r="AU136" s="295"/>
      <c r="AV136" s="295"/>
      <c r="AW136" s="295"/>
      <c r="AX136" s="295"/>
      <c r="AY136" s="295"/>
      <c r="AZ136" s="295"/>
      <c r="BA136" s="301"/>
      <c r="BB136" s="301"/>
      <c r="BC136" s="301"/>
      <c r="BD136" s="296"/>
      <c r="BE136" s="296"/>
      <c r="BF136" s="297"/>
      <c r="BG136" s="297"/>
      <c r="BH136" s="297"/>
      <c r="BI136" s="297"/>
      <c r="BJ136" s="297"/>
      <c r="BK136" s="97"/>
      <c r="BL136" s="97"/>
      <c r="BM136" s="97"/>
      <c r="BN136" s="97"/>
    </row>
    <row r="137" spans="1:66" ht="12.75">
      <c r="A137" s="8"/>
      <c r="B137" s="8"/>
      <c r="C137" s="8"/>
      <c r="D137" s="299"/>
      <c r="E137" s="299"/>
      <c r="F137" s="299"/>
      <c r="G137" s="299"/>
      <c r="H137" s="299"/>
      <c r="I137" s="299"/>
      <c r="J137" s="299"/>
      <c r="K137" s="299"/>
      <c r="L137" s="299"/>
      <c r="M137" s="299"/>
      <c r="N137" s="299"/>
      <c r="O137" s="299"/>
      <c r="P137" s="300"/>
      <c r="Q137" s="299"/>
      <c r="R137" s="299"/>
      <c r="S137" s="299"/>
      <c r="T137" s="299"/>
      <c r="U137" s="299"/>
      <c r="V137" s="299"/>
      <c r="W137" s="299"/>
      <c r="X137" s="299"/>
      <c r="Y137" s="299"/>
      <c r="Z137" s="299"/>
      <c r="AA137" s="299"/>
      <c r="AB137" s="299"/>
      <c r="AC137" s="299"/>
      <c r="AD137" s="295"/>
      <c r="AE137" s="301"/>
      <c r="AF137" s="301"/>
      <c r="AG137" s="295"/>
      <c r="AH137" s="295"/>
      <c r="AI137" s="301"/>
      <c r="AJ137" s="301"/>
      <c r="AK137" s="301"/>
      <c r="AL137" s="301"/>
      <c r="AM137" s="301"/>
      <c r="AN137" s="301"/>
      <c r="AO137" s="295"/>
      <c r="AP137" s="296"/>
      <c r="AQ137" s="301"/>
      <c r="AR137" s="301"/>
      <c r="AS137" s="295"/>
      <c r="AT137" s="295"/>
      <c r="AU137" s="295"/>
      <c r="AV137" s="295"/>
      <c r="AW137" s="295"/>
      <c r="AX137" s="295"/>
      <c r="AY137" s="295"/>
      <c r="AZ137" s="295"/>
      <c r="BA137" s="301"/>
      <c r="BB137" s="301"/>
      <c r="BC137" s="301"/>
      <c r="BD137" s="296"/>
      <c r="BE137" s="296"/>
      <c r="BF137" s="297"/>
      <c r="BG137" s="297"/>
      <c r="BH137" s="297"/>
      <c r="BI137" s="297"/>
      <c r="BJ137" s="297"/>
      <c r="BK137" s="97"/>
      <c r="BL137" s="97"/>
      <c r="BM137" s="97"/>
      <c r="BN137" s="97"/>
    </row>
    <row r="138" spans="1:66" ht="12.75">
      <c r="A138" s="8"/>
      <c r="B138" s="8"/>
      <c r="C138" s="8"/>
      <c r="D138" s="299"/>
      <c r="E138" s="299"/>
      <c r="F138" s="299"/>
      <c r="G138" s="299"/>
      <c r="H138" s="299"/>
      <c r="I138" s="299"/>
      <c r="J138" s="299"/>
      <c r="K138" s="299"/>
      <c r="L138" s="299"/>
      <c r="M138" s="299"/>
      <c r="N138" s="299"/>
      <c r="O138" s="299"/>
      <c r="P138" s="300"/>
      <c r="Q138" s="299"/>
      <c r="R138" s="299"/>
      <c r="S138" s="299"/>
      <c r="T138" s="299"/>
      <c r="U138" s="299"/>
      <c r="V138" s="299"/>
      <c r="W138" s="299"/>
      <c r="X138" s="299"/>
      <c r="Y138" s="299"/>
      <c r="Z138" s="299"/>
      <c r="AA138" s="299"/>
      <c r="AB138" s="299"/>
      <c r="AC138" s="299"/>
      <c r="AD138" s="295"/>
      <c r="AE138" s="301"/>
      <c r="AF138" s="301"/>
      <c r="AG138" s="295"/>
      <c r="AH138" s="295"/>
      <c r="AI138" s="301"/>
      <c r="AJ138" s="301"/>
      <c r="AK138" s="301"/>
      <c r="AL138" s="301"/>
      <c r="AM138" s="301"/>
      <c r="AN138" s="301"/>
      <c r="AO138" s="295"/>
      <c r="AP138" s="296"/>
      <c r="AQ138" s="301"/>
      <c r="AR138" s="301"/>
      <c r="AS138" s="295"/>
      <c r="AT138" s="295"/>
      <c r="AU138" s="295"/>
      <c r="AV138" s="295"/>
      <c r="AW138" s="295"/>
      <c r="AX138" s="295"/>
      <c r="AY138" s="295"/>
      <c r="AZ138" s="295"/>
      <c r="BA138" s="301"/>
      <c r="BB138" s="301"/>
      <c r="BC138" s="301"/>
      <c r="BD138" s="296"/>
      <c r="BE138" s="296"/>
      <c r="BF138" s="297"/>
      <c r="BG138" s="297"/>
      <c r="BH138" s="297"/>
      <c r="BI138" s="297"/>
      <c r="BJ138" s="297"/>
      <c r="BK138" s="97"/>
      <c r="BL138" s="97"/>
      <c r="BM138" s="97"/>
      <c r="BN138" s="97"/>
    </row>
    <row r="139" spans="1:66" ht="12.75">
      <c r="A139" s="8"/>
      <c r="B139" s="8"/>
      <c r="C139" s="8"/>
      <c r="D139" s="299"/>
      <c r="E139" s="299"/>
      <c r="F139" s="299"/>
      <c r="G139" s="299"/>
      <c r="H139" s="299"/>
      <c r="I139" s="299"/>
      <c r="J139" s="299"/>
      <c r="K139" s="299"/>
      <c r="L139" s="299"/>
      <c r="M139" s="299"/>
      <c r="N139" s="299"/>
      <c r="O139" s="299"/>
      <c r="P139" s="300"/>
      <c r="Q139" s="299"/>
      <c r="R139" s="299"/>
      <c r="S139" s="299"/>
      <c r="T139" s="299"/>
      <c r="U139" s="299"/>
      <c r="V139" s="299"/>
      <c r="W139" s="299"/>
      <c r="X139" s="299"/>
      <c r="Y139" s="299"/>
      <c r="Z139" s="299"/>
      <c r="AA139" s="299"/>
      <c r="AB139" s="299"/>
      <c r="AC139" s="299"/>
      <c r="AD139" s="295"/>
      <c r="AE139" s="301"/>
      <c r="AF139" s="301"/>
      <c r="AG139" s="295"/>
      <c r="AH139" s="295"/>
      <c r="AI139" s="301"/>
      <c r="AJ139" s="301"/>
      <c r="AK139" s="301"/>
      <c r="AL139" s="301"/>
      <c r="AM139" s="301"/>
      <c r="AN139" s="301"/>
      <c r="AO139" s="295"/>
      <c r="AP139" s="296"/>
      <c r="AQ139" s="301"/>
      <c r="AR139" s="301"/>
      <c r="AS139" s="295"/>
      <c r="AT139" s="295"/>
      <c r="AU139" s="295"/>
      <c r="AV139" s="295"/>
      <c r="AW139" s="295"/>
      <c r="AX139" s="295"/>
      <c r="AY139" s="295"/>
      <c r="AZ139" s="295"/>
      <c r="BA139" s="301"/>
      <c r="BB139" s="301"/>
      <c r="BC139" s="301"/>
      <c r="BD139" s="296"/>
      <c r="BE139" s="296"/>
      <c r="BF139" s="297"/>
      <c r="BG139" s="297"/>
      <c r="BH139" s="297"/>
      <c r="BI139" s="297"/>
      <c r="BJ139" s="297"/>
      <c r="BK139" s="97"/>
      <c r="BL139" s="97"/>
      <c r="BM139" s="97"/>
      <c r="BN139" s="97"/>
    </row>
    <row r="140" spans="1:66" ht="12.75">
      <c r="A140" s="8"/>
      <c r="B140" s="8"/>
      <c r="C140" s="8"/>
      <c r="D140" s="299"/>
      <c r="E140" s="299"/>
      <c r="F140" s="299"/>
      <c r="G140" s="299"/>
      <c r="H140" s="299"/>
      <c r="I140" s="299"/>
      <c r="J140" s="299"/>
      <c r="K140" s="299"/>
      <c r="L140" s="299"/>
      <c r="M140" s="299"/>
      <c r="N140" s="299"/>
      <c r="O140" s="299"/>
      <c r="P140" s="300"/>
      <c r="Q140" s="299"/>
      <c r="R140" s="299"/>
      <c r="S140" s="299"/>
      <c r="T140" s="299"/>
      <c r="U140" s="299"/>
      <c r="V140" s="299"/>
      <c r="W140" s="299"/>
      <c r="X140" s="299"/>
      <c r="Y140" s="299"/>
      <c r="Z140" s="299"/>
      <c r="AA140" s="299"/>
      <c r="AB140" s="299"/>
      <c r="AC140" s="299"/>
      <c r="AD140" s="295"/>
      <c r="AE140" s="301"/>
      <c r="AF140" s="301"/>
      <c r="AG140" s="295"/>
      <c r="AH140" s="295"/>
      <c r="AI140" s="301"/>
      <c r="AJ140" s="301"/>
      <c r="AK140" s="301"/>
      <c r="AL140" s="301"/>
      <c r="AM140" s="301"/>
      <c r="AN140" s="301"/>
      <c r="AO140" s="295"/>
      <c r="AP140" s="296"/>
      <c r="AQ140" s="301"/>
      <c r="AR140" s="301"/>
      <c r="AS140" s="295"/>
      <c r="AT140" s="295"/>
      <c r="AU140" s="295"/>
      <c r="AV140" s="295"/>
      <c r="AW140" s="295"/>
      <c r="AX140" s="295"/>
      <c r="AY140" s="295"/>
      <c r="AZ140" s="295"/>
      <c r="BA140" s="301"/>
      <c r="BB140" s="301"/>
      <c r="BC140" s="301"/>
      <c r="BD140" s="296"/>
      <c r="BE140" s="296"/>
      <c r="BF140" s="297"/>
      <c r="BG140" s="297"/>
      <c r="BH140" s="297"/>
      <c r="BI140" s="297"/>
      <c r="BJ140" s="297"/>
      <c r="BK140" s="97"/>
      <c r="BL140" s="97"/>
      <c r="BM140" s="97"/>
      <c r="BN140" s="97"/>
    </row>
    <row r="141" spans="1:66" ht="12.75">
      <c r="A141" s="8"/>
      <c r="B141" s="8"/>
      <c r="C141" s="8"/>
      <c r="D141" s="299"/>
      <c r="E141" s="299"/>
      <c r="F141" s="299"/>
      <c r="G141" s="299"/>
      <c r="H141" s="299"/>
      <c r="I141" s="299"/>
      <c r="J141" s="299"/>
      <c r="K141" s="299"/>
      <c r="L141" s="299"/>
      <c r="M141" s="299"/>
      <c r="N141" s="299"/>
      <c r="O141" s="299"/>
      <c r="P141" s="300"/>
      <c r="Q141" s="299"/>
      <c r="R141" s="299"/>
      <c r="S141" s="299"/>
      <c r="T141" s="299"/>
      <c r="U141" s="299"/>
      <c r="V141" s="299"/>
      <c r="W141" s="299"/>
      <c r="X141" s="299"/>
      <c r="Y141" s="299"/>
      <c r="Z141" s="299"/>
      <c r="AA141" s="299"/>
      <c r="AB141" s="299"/>
      <c r="AC141" s="299"/>
      <c r="AD141" s="295"/>
      <c r="AE141" s="301"/>
      <c r="AF141" s="301"/>
      <c r="AG141" s="295"/>
      <c r="AH141" s="295"/>
      <c r="AI141" s="301"/>
      <c r="AJ141" s="301"/>
      <c r="AK141" s="301"/>
      <c r="AL141" s="301"/>
      <c r="AM141" s="301"/>
      <c r="AN141" s="301"/>
      <c r="AO141" s="295"/>
      <c r="AP141" s="296"/>
      <c r="AQ141" s="301"/>
      <c r="AR141" s="301"/>
      <c r="AS141" s="295"/>
      <c r="AT141" s="295"/>
      <c r="AU141" s="295"/>
      <c r="AV141" s="295"/>
      <c r="AW141" s="295"/>
      <c r="AX141" s="295"/>
      <c r="AY141" s="295"/>
      <c r="AZ141" s="295"/>
      <c r="BA141" s="301"/>
      <c r="BB141" s="301"/>
      <c r="BC141" s="301"/>
      <c r="BD141" s="296"/>
      <c r="BE141" s="296"/>
      <c r="BF141" s="297"/>
      <c r="BG141" s="297"/>
      <c r="BH141" s="297"/>
      <c r="BI141" s="297"/>
      <c r="BJ141" s="297"/>
      <c r="BK141" s="97"/>
      <c r="BL141" s="97"/>
      <c r="BM141" s="97"/>
      <c r="BN141" s="97"/>
    </row>
    <row r="142" spans="1:66" ht="12.75">
      <c r="A142" s="8"/>
      <c r="B142" s="8"/>
      <c r="C142" s="8"/>
      <c r="D142" s="299"/>
      <c r="E142" s="299"/>
      <c r="F142" s="299"/>
      <c r="G142" s="299"/>
      <c r="H142" s="299"/>
      <c r="I142" s="299"/>
      <c r="J142" s="299"/>
      <c r="K142" s="299"/>
      <c r="L142" s="299"/>
      <c r="M142" s="299"/>
      <c r="N142" s="299"/>
      <c r="O142" s="299"/>
      <c r="P142" s="300"/>
      <c r="Q142" s="299"/>
      <c r="R142" s="299"/>
      <c r="S142" s="299"/>
      <c r="T142" s="299"/>
      <c r="U142" s="299"/>
      <c r="V142" s="299"/>
      <c r="W142" s="299"/>
      <c r="X142" s="299"/>
      <c r="Y142" s="299"/>
      <c r="Z142" s="299"/>
      <c r="AA142" s="299"/>
      <c r="AB142" s="299"/>
      <c r="AC142" s="299"/>
      <c r="AD142" s="295"/>
      <c r="AE142" s="301"/>
      <c r="AF142" s="301"/>
      <c r="AG142" s="295"/>
      <c r="AH142" s="295"/>
      <c r="AI142" s="301"/>
      <c r="AJ142" s="301"/>
      <c r="AK142" s="301"/>
      <c r="AL142" s="301"/>
      <c r="AM142" s="301"/>
      <c r="AN142" s="301"/>
      <c r="AO142" s="295"/>
      <c r="AP142" s="296"/>
      <c r="AQ142" s="301"/>
      <c r="AR142" s="301"/>
      <c r="AS142" s="295"/>
      <c r="AT142" s="295"/>
      <c r="AU142" s="295"/>
      <c r="AV142" s="295"/>
      <c r="AW142" s="295"/>
      <c r="AX142" s="295"/>
      <c r="AY142" s="295"/>
      <c r="AZ142" s="295"/>
      <c r="BA142" s="301"/>
      <c r="BB142" s="301"/>
      <c r="BC142" s="301"/>
      <c r="BD142" s="296"/>
      <c r="BE142" s="296"/>
      <c r="BF142" s="297"/>
      <c r="BG142" s="297"/>
      <c r="BH142" s="297"/>
      <c r="BI142" s="297"/>
      <c r="BJ142" s="297"/>
      <c r="BK142" s="97"/>
      <c r="BL142" s="97"/>
      <c r="BM142" s="97"/>
      <c r="BN142" s="97"/>
    </row>
    <row r="143" spans="1:66" ht="12.75">
      <c r="A143" s="8"/>
      <c r="B143" s="8"/>
      <c r="C143" s="8"/>
      <c r="D143" s="299"/>
      <c r="E143" s="299"/>
      <c r="F143" s="299"/>
      <c r="G143" s="299"/>
      <c r="H143" s="299"/>
      <c r="I143" s="299"/>
      <c r="J143" s="299"/>
      <c r="K143" s="299"/>
      <c r="L143" s="299"/>
      <c r="M143" s="299"/>
      <c r="N143" s="299"/>
      <c r="O143" s="299"/>
      <c r="P143" s="300"/>
      <c r="Q143" s="299"/>
      <c r="R143" s="299"/>
      <c r="S143" s="299"/>
      <c r="T143" s="299"/>
      <c r="U143" s="299"/>
      <c r="V143" s="299"/>
      <c r="W143" s="299"/>
      <c r="X143" s="299"/>
      <c r="Y143" s="299"/>
      <c r="Z143" s="299"/>
      <c r="AA143" s="299"/>
      <c r="AB143" s="299"/>
      <c r="AC143" s="299"/>
      <c r="AD143" s="295"/>
      <c r="AE143" s="301"/>
      <c r="AF143" s="301"/>
      <c r="AG143" s="295"/>
      <c r="AH143" s="295"/>
      <c r="AI143" s="301"/>
      <c r="AJ143" s="301"/>
      <c r="AK143" s="301"/>
      <c r="AL143" s="301"/>
      <c r="AM143" s="301"/>
      <c r="AN143" s="301"/>
      <c r="AO143" s="295"/>
      <c r="AP143" s="296"/>
      <c r="AQ143" s="301"/>
      <c r="AR143" s="301"/>
      <c r="AS143" s="295"/>
      <c r="AT143" s="295"/>
      <c r="AU143" s="295"/>
      <c r="AV143" s="295"/>
      <c r="AW143" s="295"/>
      <c r="AX143" s="295"/>
      <c r="AY143" s="295"/>
      <c r="AZ143" s="295"/>
      <c r="BA143" s="301"/>
      <c r="BB143" s="301"/>
      <c r="BC143" s="301"/>
      <c r="BD143" s="296"/>
      <c r="BE143" s="296"/>
      <c r="BF143" s="297"/>
      <c r="BG143" s="297"/>
      <c r="BH143" s="297"/>
      <c r="BI143" s="297"/>
      <c r="BJ143" s="297"/>
      <c r="BK143" s="97"/>
      <c r="BL143" s="97"/>
      <c r="BM143" s="97"/>
      <c r="BN143" s="97"/>
    </row>
    <row r="144" spans="1:66" ht="12.75">
      <c r="A144" s="8"/>
      <c r="B144" s="8"/>
      <c r="C144" s="8"/>
      <c r="D144" s="299"/>
      <c r="E144" s="299"/>
      <c r="F144" s="299"/>
      <c r="G144" s="299"/>
      <c r="H144" s="299"/>
      <c r="I144" s="299"/>
      <c r="J144" s="299"/>
      <c r="K144" s="299"/>
      <c r="L144" s="299"/>
      <c r="M144" s="299"/>
      <c r="N144" s="299"/>
      <c r="O144" s="299"/>
      <c r="P144" s="300"/>
      <c r="Q144" s="299"/>
      <c r="R144" s="299"/>
      <c r="S144" s="299"/>
      <c r="T144" s="299"/>
      <c r="U144" s="299"/>
      <c r="V144" s="299"/>
      <c r="W144" s="299"/>
      <c r="X144" s="299"/>
      <c r="Y144" s="299"/>
      <c r="Z144" s="299"/>
      <c r="AA144" s="299"/>
      <c r="AB144" s="299"/>
      <c r="AC144" s="299"/>
      <c r="AD144" s="295"/>
      <c r="AE144" s="301"/>
      <c r="AF144" s="301"/>
      <c r="AG144" s="295"/>
      <c r="AH144" s="295"/>
      <c r="AI144" s="301"/>
      <c r="AJ144" s="301"/>
      <c r="AK144" s="301"/>
      <c r="AL144" s="301"/>
      <c r="AM144" s="301"/>
      <c r="AN144" s="301"/>
      <c r="AO144" s="295"/>
      <c r="AP144" s="296"/>
      <c r="AQ144" s="301"/>
      <c r="AR144" s="301"/>
      <c r="AS144" s="295"/>
      <c r="AT144" s="295"/>
      <c r="AU144" s="295"/>
      <c r="AV144" s="295"/>
      <c r="AW144" s="295"/>
      <c r="AX144" s="295"/>
      <c r="AY144" s="295"/>
      <c r="AZ144" s="295"/>
      <c r="BA144" s="301"/>
      <c r="BB144" s="301"/>
      <c r="BC144" s="301"/>
      <c r="BD144" s="296"/>
      <c r="BE144" s="296"/>
      <c r="BF144" s="297"/>
      <c r="BG144" s="297"/>
      <c r="BH144" s="297"/>
      <c r="BI144" s="297"/>
      <c r="BJ144" s="297"/>
      <c r="BK144" s="97"/>
      <c r="BL144" s="97"/>
      <c r="BM144" s="97"/>
      <c r="BN144" s="97"/>
    </row>
    <row r="145" spans="1:66" ht="12.75">
      <c r="A145" s="8"/>
      <c r="B145" s="8"/>
      <c r="C145" s="8"/>
      <c r="D145" s="299"/>
      <c r="E145" s="299"/>
      <c r="F145" s="299"/>
      <c r="G145" s="299"/>
      <c r="H145" s="299"/>
      <c r="I145" s="299"/>
      <c r="J145" s="299"/>
      <c r="K145" s="299"/>
      <c r="L145" s="299"/>
      <c r="M145" s="299"/>
      <c r="N145" s="299"/>
      <c r="O145" s="299"/>
      <c r="P145" s="300"/>
      <c r="Q145" s="299"/>
      <c r="R145" s="299"/>
      <c r="S145" s="299"/>
      <c r="T145" s="299"/>
      <c r="U145" s="299"/>
      <c r="V145" s="299"/>
      <c r="W145" s="299"/>
      <c r="X145" s="299"/>
      <c r="Y145" s="299"/>
      <c r="Z145" s="299"/>
      <c r="AA145" s="299"/>
      <c r="AB145" s="299"/>
      <c r="AC145" s="299"/>
      <c r="AD145" s="295"/>
      <c r="AE145" s="301"/>
      <c r="AF145" s="301"/>
      <c r="AG145" s="295"/>
      <c r="AH145" s="295"/>
      <c r="AI145" s="301"/>
      <c r="AJ145" s="301"/>
      <c r="AK145" s="301"/>
      <c r="AL145" s="301"/>
      <c r="AM145" s="301"/>
      <c r="AN145" s="301"/>
      <c r="AO145" s="295"/>
      <c r="AP145" s="296"/>
      <c r="AQ145" s="301"/>
      <c r="AR145" s="301"/>
      <c r="AS145" s="295"/>
      <c r="AT145" s="295"/>
      <c r="AU145" s="295"/>
      <c r="AV145" s="295"/>
      <c r="AW145" s="295"/>
      <c r="AX145" s="295"/>
      <c r="AY145" s="295"/>
      <c r="AZ145" s="295"/>
      <c r="BA145" s="301"/>
      <c r="BB145" s="301"/>
      <c r="BC145" s="301"/>
      <c r="BD145" s="296"/>
      <c r="BE145" s="296"/>
      <c r="BF145" s="297"/>
      <c r="BG145" s="297"/>
      <c r="BH145" s="297"/>
      <c r="BI145" s="297"/>
      <c r="BJ145" s="297"/>
      <c r="BK145" s="97"/>
      <c r="BL145" s="97"/>
      <c r="BM145" s="97"/>
      <c r="BN145" s="97"/>
    </row>
    <row r="146" spans="1:66" ht="12.75">
      <c r="A146" s="8"/>
      <c r="B146" s="8"/>
      <c r="C146" s="8"/>
      <c r="D146" s="299"/>
      <c r="E146" s="299"/>
      <c r="F146" s="299"/>
      <c r="G146" s="299"/>
      <c r="H146" s="299"/>
      <c r="I146" s="299"/>
      <c r="J146" s="299"/>
      <c r="K146" s="299"/>
      <c r="L146" s="299"/>
      <c r="M146" s="299"/>
      <c r="N146" s="299"/>
      <c r="O146" s="299"/>
      <c r="P146" s="300"/>
      <c r="Q146" s="299"/>
      <c r="R146" s="299"/>
      <c r="S146" s="299"/>
      <c r="T146" s="299"/>
      <c r="U146" s="299"/>
      <c r="V146" s="299"/>
      <c r="W146" s="299"/>
      <c r="X146" s="299"/>
      <c r="Y146" s="299"/>
      <c r="Z146" s="299"/>
      <c r="AA146" s="299"/>
      <c r="AB146" s="299"/>
      <c r="AC146" s="299"/>
      <c r="AD146" s="295"/>
      <c r="AE146" s="301"/>
      <c r="AF146" s="301"/>
      <c r="AG146" s="295"/>
      <c r="AH146" s="295"/>
      <c r="AI146" s="301"/>
      <c r="AJ146" s="301"/>
      <c r="AK146" s="301"/>
      <c r="AL146" s="301"/>
      <c r="AM146" s="301"/>
      <c r="AN146" s="301"/>
      <c r="AO146" s="295"/>
      <c r="AP146" s="296"/>
      <c r="AQ146" s="301"/>
      <c r="AR146" s="301"/>
      <c r="AS146" s="295"/>
      <c r="AT146" s="295"/>
      <c r="AU146" s="295"/>
      <c r="AV146" s="295"/>
      <c r="AW146" s="295"/>
      <c r="AX146" s="295"/>
      <c r="AY146" s="295"/>
      <c r="AZ146" s="295"/>
      <c r="BA146" s="301"/>
      <c r="BB146" s="301"/>
      <c r="BC146" s="301"/>
      <c r="BD146" s="296"/>
      <c r="BE146" s="296"/>
      <c r="BF146" s="297"/>
      <c r="BG146" s="297"/>
      <c r="BH146" s="297"/>
      <c r="BI146" s="297"/>
      <c r="BJ146" s="297"/>
      <c r="BK146" s="97"/>
      <c r="BL146" s="97"/>
      <c r="BM146" s="97"/>
      <c r="BN146" s="97"/>
    </row>
    <row r="147" spans="1:66" ht="12.75">
      <c r="A147" s="8"/>
      <c r="B147" s="8"/>
      <c r="C147" s="8"/>
      <c r="D147" s="299"/>
      <c r="E147" s="299"/>
      <c r="F147" s="299"/>
      <c r="G147" s="299"/>
      <c r="H147" s="299"/>
      <c r="I147" s="299"/>
      <c r="J147" s="299"/>
      <c r="K147" s="299"/>
      <c r="L147" s="299"/>
      <c r="M147" s="299"/>
      <c r="N147" s="299"/>
      <c r="O147" s="299"/>
      <c r="P147" s="300"/>
      <c r="Q147" s="299"/>
      <c r="R147" s="299"/>
      <c r="S147" s="299"/>
      <c r="T147" s="299"/>
      <c r="U147" s="299"/>
      <c r="V147" s="299"/>
      <c r="W147" s="299"/>
      <c r="X147" s="299"/>
      <c r="Y147" s="299"/>
      <c r="Z147" s="299"/>
      <c r="AA147" s="299"/>
      <c r="AB147" s="299"/>
      <c r="AC147" s="299"/>
      <c r="AD147" s="295"/>
      <c r="AE147" s="301"/>
      <c r="AF147" s="301"/>
      <c r="AG147" s="295"/>
      <c r="AH147" s="295"/>
      <c r="AI147" s="301"/>
      <c r="AJ147" s="301"/>
      <c r="AK147" s="301"/>
      <c r="AL147" s="301"/>
      <c r="AM147" s="301"/>
      <c r="AN147" s="301"/>
      <c r="AO147" s="295"/>
      <c r="AP147" s="296"/>
      <c r="AQ147" s="301"/>
      <c r="AR147" s="301"/>
      <c r="AS147" s="295"/>
      <c r="AT147" s="295"/>
      <c r="AU147" s="295"/>
      <c r="AV147" s="295"/>
      <c r="AW147" s="295"/>
      <c r="AX147" s="295"/>
      <c r="AY147" s="295"/>
      <c r="AZ147" s="295"/>
      <c r="BA147" s="301"/>
      <c r="BB147" s="301"/>
      <c r="BC147" s="301"/>
      <c r="BD147" s="296"/>
      <c r="BE147" s="296"/>
      <c r="BF147" s="297"/>
      <c r="BG147" s="297"/>
      <c r="BH147" s="297"/>
      <c r="BI147" s="297"/>
      <c r="BJ147" s="297"/>
      <c r="BK147" s="97"/>
      <c r="BL147" s="97"/>
      <c r="BM147" s="97"/>
      <c r="BN147" s="97"/>
    </row>
    <row r="148" spans="1:66" ht="12.75">
      <c r="A148" s="8"/>
      <c r="B148" s="8"/>
      <c r="C148" s="8"/>
      <c r="D148" s="299"/>
      <c r="E148" s="299"/>
      <c r="F148" s="299"/>
      <c r="G148" s="299"/>
      <c r="H148" s="299"/>
      <c r="I148" s="299"/>
      <c r="J148" s="299"/>
      <c r="K148" s="299"/>
      <c r="L148" s="299"/>
      <c r="M148" s="299"/>
      <c r="N148" s="299"/>
      <c r="O148" s="299"/>
      <c r="P148" s="300"/>
      <c r="Q148" s="299"/>
      <c r="R148" s="299"/>
      <c r="S148" s="299"/>
      <c r="T148" s="299"/>
      <c r="U148" s="299"/>
      <c r="V148" s="299"/>
      <c r="W148" s="299"/>
      <c r="X148" s="299"/>
      <c r="Y148" s="299"/>
      <c r="Z148" s="299"/>
      <c r="AA148" s="299"/>
      <c r="AB148" s="299"/>
      <c r="AC148" s="299"/>
      <c r="AD148" s="295"/>
      <c r="AE148" s="301"/>
      <c r="AF148" s="301"/>
      <c r="AG148" s="295"/>
      <c r="AH148" s="295"/>
      <c r="AI148" s="301"/>
      <c r="AJ148" s="301"/>
      <c r="AK148" s="301"/>
      <c r="AL148" s="301"/>
      <c r="AM148" s="301"/>
      <c r="AN148" s="301"/>
      <c r="AO148" s="295"/>
      <c r="AP148" s="296"/>
      <c r="AQ148" s="301"/>
      <c r="AR148" s="301"/>
      <c r="AS148" s="295"/>
      <c r="AT148" s="295"/>
      <c r="AU148" s="295"/>
      <c r="AV148" s="295"/>
      <c r="AW148" s="295"/>
      <c r="AX148" s="295"/>
      <c r="AY148" s="295"/>
      <c r="AZ148" s="295"/>
      <c r="BA148" s="302"/>
      <c r="BB148" s="302"/>
      <c r="BC148" s="302"/>
      <c r="BD148" s="296"/>
      <c r="BE148" s="296"/>
      <c r="BF148" s="297"/>
      <c r="BG148" s="297"/>
      <c r="BH148" s="297"/>
      <c r="BI148" s="297"/>
      <c r="BJ148" s="297"/>
      <c r="BK148" s="97"/>
      <c r="BL148" s="97"/>
      <c r="BM148" s="97"/>
      <c r="BN148" s="97"/>
    </row>
    <row r="149" spans="1:62" ht="12.75">
      <c r="A149" s="8"/>
      <c r="B149" s="298"/>
      <c r="C149" s="298"/>
      <c r="D149" s="299"/>
      <c r="E149" s="299"/>
      <c r="F149" s="299"/>
      <c r="G149" s="299"/>
      <c r="H149" s="299"/>
      <c r="I149" s="299"/>
      <c r="J149" s="299"/>
      <c r="K149" s="299"/>
      <c r="L149" s="299"/>
      <c r="M149" s="299"/>
      <c r="N149" s="299"/>
      <c r="O149" s="299"/>
      <c r="P149" s="299"/>
      <c r="Q149" s="299"/>
      <c r="R149" s="299"/>
      <c r="S149" s="299"/>
      <c r="T149" s="299"/>
      <c r="U149" s="299"/>
      <c r="V149" s="299"/>
      <c r="W149" s="299"/>
      <c r="X149" s="299"/>
      <c r="Y149" s="299"/>
      <c r="Z149" s="299"/>
      <c r="AA149" s="299"/>
      <c r="AB149" s="299"/>
      <c r="AC149" s="299"/>
      <c r="AD149" s="295"/>
      <c r="AE149" s="302"/>
      <c r="AF149" s="302"/>
      <c r="AG149" s="295"/>
      <c r="AH149" s="295"/>
      <c r="AI149" s="302"/>
      <c r="AJ149" s="302"/>
      <c r="AK149" s="302"/>
      <c r="AL149" s="302"/>
      <c r="AM149" s="302"/>
      <c r="AN149" s="302"/>
      <c r="AO149" s="295"/>
      <c r="AP149" s="295"/>
      <c r="AQ149" s="302"/>
      <c r="AR149" s="302"/>
      <c r="AS149" s="295"/>
      <c r="AT149" s="295"/>
      <c r="AU149" s="295"/>
      <c r="AV149" s="295"/>
      <c r="AW149" s="295"/>
      <c r="AX149" s="295"/>
      <c r="AY149" s="295"/>
      <c r="AZ149" s="295"/>
      <c r="BA149" s="302"/>
      <c r="BB149" s="302"/>
      <c r="BC149" s="302"/>
      <c r="BD149" s="295"/>
      <c r="BE149" s="295"/>
      <c r="BF149" s="299"/>
      <c r="BG149" s="299"/>
      <c r="BH149" s="299"/>
      <c r="BI149" s="299"/>
      <c r="BJ149" s="299"/>
    </row>
    <row r="150" spans="1:62" ht="12.75">
      <c r="A150" s="8"/>
      <c r="B150" s="298"/>
      <c r="C150" s="298"/>
      <c r="D150" s="299"/>
      <c r="E150" s="299"/>
      <c r="F150" s="299"/>
      <c r="G150" s="299"/>
      <c r="H150" s="299"/>
      <c r="I150" s="299"/>
      <c r="J150" s="299"/>
      <c r="K150" s="299"/>
      <c r="L150" s="299"/>
      <c r="M150" s="299"/>
      <c r="N150" s="299"/>
      <c r="O150" s="299"/>
      <c r="P150" s="299"/>
      <c r="Q150" s="299"/>
      <c r="R150" s="299"/>
      <c r="S150" s="299"/>
      <c r="T150" s="299"/>
      <c r="U150" s="299"/>
      <c r="V150" s="299"/>
      <c r="W150" s="299"/>
      <c r="X150" s="299"/>
      <c r="Y150" s="299"/>
      <c r="Z150" s="299"/>
      <c r="AA150" s="299"/>
      <c r="AB150" s="299"/>
      <c r="AC150" s="299"/>
      <c r="AD150" s="295"/>
      <c r="AE150" s="302"/>
      <c r="AF150" s="302"/>
      <c r="AG150" s="295"/>
      <c r="AH150" s="295"/>
      <c r="AI150" s="302"/>
      <c r="AJ150" s="302"/>
      <c r="AK150" s="302"/>
      <c r="AL150" s="302"/>
      <c r="AM150" s="302"/>
      <c r="AN150" s="302"/>
      <c r="AO150" s="295"/>
      <c r="AP150" s="295"/>
      <c r="AQ150" s="302"/>
      <c r="AR150" s="302"/>
      <c r="AS150" s="295"/>
      <c r="AT150" s="295"/>
      <c r="AU150" s="295"/>
      <c r="AV150" s="295"/>
      <c r="AW150" s="295"/>
      <c r="AX150" s="295"/>
      <c r="AY150" s="295"/>
      <c r="AZ150" s="295"/>
      <c r="BA150" s="302"/>
      <c r="BB150" s="302"/>
      <c r="BC150" s="302"/>
      <c r="BD150" s="295"/>
      <c r="BE150" s="295"/>
      <c r="BF150" s="299"/>
      <c r="BG150" s="299"/>
      <c r="BH150" s="299"/>
      <c r="BI150" s="299"/>
      <c r="BJ150" s="299"/>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70" zoomScaleNormal="70" zoomScalePageLayoutView="0" workbookViewId="0" topLeftCell="A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4"/>
    </row>
    <row r="3" spans="5:57" ht="12.75">
      <c r="E3" s="1" t="s">
        <v>4</v>
      </c>
      <c r="I3">
        <v>0</v>
      </c>
      <c r="J3">
        <v>1</v>
      </c>
      <c r="K3">
        <v>2</v>
      </c>
      <c r="L3">
        <v>3</v>
      </c>
      <c r="M3" s="70">
        <v>4</v>
      </c>
      <c r="N3" s="1"/>
      <c r="W3" s="1" t="s">
        <v>8</v>
      </c>
      <c r="AQ3" t="s">
        <v>371</v>
      </c>
      <c r="BE3" s="254"/>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326</v>
      </c>
      <c r="O4" s="75" t="s">
        <v>325</v>
      </c>
      <c r="P4" s="75" t="s">
        <v>453</v>
      </c>
      <c r="Q4" s="75" t="s">
        <v>454</v>
      </c>
      <c r="R4" s="75" t="s">
        <v>455</v>
      </c>
      <c r="S4" s="75" t="s">
        <v>456</v>
      </c>
      <c r="T4" s="39" t="s">
        <v>278</v>
      </c>
      <c r="U4" s="40" t="s">
        <v>279</v>
      </c>
      <c r="V4" s="41" t="s">
        <v>7</v>
      </c>
      <c r="W4" s="24" t="s">
        <v>2</v>
      </c>
      <c r="X4" s="24" t="s">
        <v>3</v>
      </c>
      <c r="Y4" s="75" t="s">
        <v>555</v>
      </c>
      <c r="Z4" s="75" t="s">
        <v>554</v>
      </c>
      <c r="AA4" s="26" t="s">
        <v>280</v>
      </c>
      <c r="AB4" s="24" t="s">
        <v>5</v>
      </c>
      <c r="AC4" s="75" t="s">
        <v>35</v>
      </c>
      <c r="AD4" s="24" t="s">
        <v>6</v>
      </c>
      <c r="AE4" s="24" t="s">
        <v>281</v>
      </c>
      <c r="AF4" s="24" t="s">
        <v>16</v>
      </c>
      <c r="AG4" s="24" t="s">
        <v>15</v>
      </c>
      <c r="AH4" s="24" t="s">
        <v>14</v>
      </c>
      <c r="AI4" s="25" t="s">
        <v>30</v>
      </c>
      <c r="AJ4" s="47" t="s">
        <v>10</v>
      </c>
      <c r="AK4" s="26" t="s">
        <v>21</v>
      </c>
      <c r="AL4" s="25" t="s">
        <v>22</v>
      </c>
      <c r="AQ4" s="102" t="s">
        <v>368</v>
      </c>
      <c r="AR4" s="102" t="s">
        <v>370</v>
      </c>
      <c r="AS4" s="102" t="s">
        <v>369</v>
      </c>
      <c r="AY4" s="102" t="s">
        <v>450</v>
      </c>
      <c r="AZ4" s="102" t="s">
        <v>451</v>
      </c>
      <c r="BA4" s="102" t="s">
        <v>452</v>
      </c>
      <c r="BB4" s="106" t="s">
        <v>37</v>
      </c>
      <c r="BD4" s="252"/>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102</v>
      </c>
      <c r="AZ5" s="103" t="s">
        <v>391</v>
      </c>
      <c r="BA5" s="103" t="s">
        <v>321</v>
      </c>
      <c r="BB5" s="10">
        <v>317914</v>
      </c>
      <c r="BF5" s="252"/>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73</v>
      </c>
      <c r="AZ6" s="103" t="s">
        <v>376</v>
      </c>
      <c r="BA6" s="103" t="s">
        <v>321</v>
      </c>
      <c r="BB6" s="10">
        <v>186689</v>
      </c>
      <c r="BE6" s="70"/>
      <c r="BF6" s="241"/>
    </row>
    <row r="7" spans="1:58" ht="12.75">
      <c r="A7" s="21">
        <v>2</v>
      </c>
      <c r="B7" s="74" t="str">
        <f>'Indicator chart'!D13</f>
        <v>Practice Population aged 65+ (% of population in this practice aged 65+)</v>
      </c>
      <c r="C7" s="21">
        <v>1</v>
      </c>
      <c r="D7" s="277">
        <f>IF(LEFT(VLOOKUP($B7,'Indicator chart'!$D$1:$J$36,4,FALSE),1)=" "," ",VLOOKUP($B7,'Indicator chart'!$D$1:$J$36,4,FALSE))</f>
        <v>1098</v>
      </c>
      <c r="E7" s="38">
        <f>IF(LEFT(VLOOKUP($B7,'Indicator chart'!$D$1:$J$36,5,FALSE),1)=" "," ",VLOOKUP($B7,'Indicator chart'!$D$1:$J$36,5,FALSE))</f>
        <v>0.24448897795591182</v>
      </c>
      <c r="F7" s="38">
        <f>IF(LEFT(VLOOKUP($B7,'Indicator chart'!$D$1:$J$36,6,FALSE),1)=" "," ",VLOOKUP($B7,'Indicator chart'!$D$1:$J$36,6,FALSE))</f>
        <v>0.23214085028688788</v>
      </c>
      <c r="G7" s="38">
        <f>IF(LEFT(VLOOKUP($B7,'Indicator chart'!$D$1:$J$36,7,FALSE),1)=" "," ",VLOOKUP($B7,'Indicator chart'!$D$1:$J$36,7,FALSE))</f>
        <v>0.25727386012248454</v>
      </c>
      <c r="H7" s="50">
        <f aca="true" t="shared" si="0" ref="H7:H31">IF(LEFT(F7,1)=" ",4,IF(AND(ABS(N7-E7)&gt;SQRT((E7-G7)^2+(N7-R7)^2),E7&lt;N7),1,IF(AND(ABS(N7-E7)&gt;SQRT((E7-F7)^2+(N7-S7)^2),E7&gt;N7),3,2)))</f>
        <v>3</v>
      </c>
      <c r="I7" s="38">
        <v>0.10221643000841141</v>
      </c>
      <c r="J7" s="38">
        <v>0.16535811126232147</v>
      </c>
      <c r="K7" s="38">
        <v>0.18736599385738373</v>
      </c>
      <c r="L7" s="38">
        <v>0.21408599615097046</v>
      </c>
      <c r="M7" s="38">
        <v>0.2547597587108612</v>
      </c>
      <c r="N7" s="80">
        <f>VLOOKUP('Hide - Control'!B$3,'All practice data'!A:CA,A7+29,FALSE)</f>
        <v>0.18506991863663466</v>
      </c>
      <c r="O7" s="80">
        <f>VLOOKUP('Hide - Control'!C$3,'All practice data'!A:CA,A7+29,FALSE)</f>
        <v>0.1599882305185145</v>
      </c>
      <c r="P7" s="38">
        <f>VLOOKUP('Hide - Control'!$B$4,'All practice data'!B:BC,A7+2,FALSE)</f>
        <v>48108</v>
      </c>
      <c r="Q7" s="38">
        <f>VLOOKUP('Hide - Control'!$B$4,'All practice data'!B:BC,3,FALSE)</f>
        <v>259945</v>
      </c>
      <c r="R7" s="38">
        <f>+((2*P7+1.96^2-1.96*SQRT(1.96^2+4*P7*(1-P7/Q7)))/(2*(Q7+1.96^2)))</f>
        <v>0.183581632848352</v>
      </c>
      <c r="S7" s="38">
        <f>+((2*P7+1.96^2+1.96*SQRT(1.96^2+4*P7*(1-P7/Q7)))/(2*(Q7+1.96^2)))</f>
        <v>0.18656751268259697</v>
      </c>
      <c r="T7" s="53">
        <f>IF($C7=1,M7,I7)</f>
        <v>0.2547597587108612</v>
      </c>
      <c r="U7" s="51">
        <f aca="true" t="shared" si="1" ref="U7:U15">IF($C7=1,I7,M7)</f>
        <v>0.10221643000841141</v>
      </c>
      <c r="V7" s="7">
        <v>1</v>
      </c>
      <c r="W7" s="27">
        <f aca="true" t="shared" si="2" ref="W7:W31">IF((K7-I7)&gt;(M7-K7),I7,(K7-(M7-K7)))</f>
        <v>0.10221643000841141</v>
      </c>
      <c r="X7" s="27">
        <f aca="true" t="shared" si="3" ref="X7:X31">IF(W7=I7,K7+(K7-I7),M7)</f>
        <v>0.27251555770635605</v>
      </c>
      <c r="Y7" s="27">
        <f aca="true" t="shared" si="4" ref="Y7:Y31">IF(C7=1,W7,X7)</f>
        <v>0.10221643000841141</v>
      </c>
      <c r="Z7" s="27">
        <f aca="true" t="shared" si="5" ref="Z7:Z31">IF(C7=1,X7,W7)</f>
        <v>0.27251555770635605</v>
      </c>
      <c r="AA7" s="32">
        <f aca="true" t="shared" si="6" ref="AA7:AA31">IF(ISERROR(IF(C7=1,(I7-$Y7)/($Z7-$Y7),(U7-$Y7)/($Z7-$Y7))),"",IF(C7=1,(I7-$Y7)/($Z7-$Y7),(U7-$Y7)/($Z7-$Y7)))</f>
        <v>0</v>
      </c>
      <c r="AB7" s="33">
        <f aca="true" t="shared" si="7" ref="AB7:AB31">IF(ISERROR(IF(C7=1,(J7-$Y7)/($Z7-$Y7),(L7-$Y7)/($Z7-$Y7))),"",IF(C7=1,(J7-$Y7)/($Z7-$Y7),(L7-$Y7)/($Z7-$Y7)))</f>
        <v>0.37076925823074625</v>
      </c>
      <c r="AC7" s="33">
        <v>0.5</v>
      </c>
      <c r="AD7" s="33">
        <f aca="true" t="shared" si="8" ref="AD7:AD31">IF(ISERROR(IF(C7=1,(L7-$Y7)/($Z7-$Y7),(J7-$Y7)/($Z7-$Y7))),"",IF(C7=1,(L7-$Y7)/($Z7-$Y7),(J7-$Y7)/($Z7-$Y7)))</f>
        <v>0.6569004060959099</v>
      </c>
      <c r="AE7" s="33">
        <f aca="true" t="shared" si="9" ref="AE7:AE31">IF(ISERROR(IF(C7=1,(M7-$Y7)/($Z7-$Y7),(I7-$Y7)/($Z7-$Y7))),"",IF(C7=1,(M7-$Y7)/($Z7-$Y7),(I7-$Y7)/($Z7-$Y7)))</f>
        <v>0.8957375810697759</v>
      </c>
      <c r="AF7" s="33">
        <f aca="true" t="shared" si="10" ref="AF7:AF30">IF(E7=" ",-999,IF(H7=4,(E7-$Y7)/($Z7-$Y7),-999))</f>
        <v>-999</v>
      </c>
      <c r="AG7" s="33">
        <f aca="true" t="shared" si="11" ref="AG7:AG31">IF(E7=" ",-999,IF(H7=2,(E7-$Y7)/($Z7-$Y7),-999))</f>
        <v>-999</v>
      </c>
      <c r="AH7" s="33">
        <f aca="true" t="shared" si="12" ref="AH7:AH31">IF(E7=" ",-999,IF(MAX(AK7:AL7)&gt;-999,MAX(AK7:AL7),-999))</f>
        <v>0.8354273440545492</v>
      </c>
      <c r="AI7" s="34">
        <f aca="true" t="shared" si="13" ref="AI7:AI31">IF(ISERROR((O7-$Y7)/($Z7-$Y7)),-999,(O7-$Y7)/($Z7-$Y7))</f>
        <v>0.3392372074422571</v>
      </c>
      <c r="AJ7" s="4">
        <v>2.7020512924389086</v>
      </c>
      <c r="AK7" s="32">
        <f aca="true" t="shared" si="14" ref="AK7:AK31">IF(H7=1,(E7-$Y7)/($Z7-$Y7),-999)</f>
        <v>-999</v>
      </c>
      <c r="AL7" s="34">
        <f aca="true" t="shared" si="15" ref="AL7:AL31">IF(H7=3,(E7-$Y7)/($Z7-$Y7),-999)</f>
        <v>0.8354273440545492</v>
      </c>
      <c r="AQ7" s="103">
        <v>2</v>
      </c>
      <c r="AR7" s="103">
        <v>0.2422</v>
      </c>
      <c r="AS7" s="103">
        <v>7.2247</v>
      </c>
      <c r="AY7" s="103" t="s">
        <v>68</v>
      </c>
      <c r="AZ7" s="103" t="s">
        <v>375</v>
      </c>
      <c r="BA7" s="103" t="s">
        <v>321</v>
      </c>
      <c r="BB7" s="10">
        <v>370153</v>
      </c>
      <c r="BE7" s="70"/>
      <c r="BF7" s="241"/>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1</v>
      </c>
      <c r="E8" s="38">
        <f>IF(LEFT(VLOOKUP($B8,'Indicator chart'!$D$1:$J$36,5,FALSE),1)=" "," ",VLOOKUP($B8,'Indicator chart'!$D$1:$J$36,5,FALSE))</f>
        <v>0.06</v>
      </c>
      <c r="F8" s="38">
        <f>IF(LEFT(VLOOKUP($B8,'Indicator chart'!$D$1:$J$36,6,FALSE),1)=" "," ",VLOOKUP($B8,'Indicator chart'!$D$1:$J$36,6,FALSE))</f>
        <v>0.05342301700283047</v>
      </c>
      <c r="G8" s="38">
        <f>IF(LEFT(VLOOKUP($B8,'Indicator chart'!$D$1:$J$36,7,FALSE),1)=" "," ",VLOOKUP($B8,'Indicator chart'!$D$1:$J$36,7,FALSE))</f>
        <v>0.06732909136957578</v>
      </c>
      <c r="H8" s="50">
        <f t="shared" si="0"/>
        <v>1</v>
      </c>
      <c r="I8" s="38">
        <v>0.05000000074505806</v>
      </c>
      <c r="J8" s="38">
        <v>0.07999999821186066</v>
      </c>
      <c r="K8" s="38">
        <v>0.10999999940395355</v>
      </c>
      <c r="L8" s="38">
        <v>0.14000000059604645</v>
      </c>
      <c r="M8" s="38">
        <v>0.27000001072883606</v>
      </c>
      <c r="N8" s="80">
        <f>VLOOKUP('Hide - Control'!B$3,'All practice data'!A:CA,A8+29,FALSE)</f>
        <v>0.11738217699898057</v>
      </c>
      <c r="O8" s="80">
        <f>VLOOKUP('Hide - Control'!C$3,'All practice data'!A:CA,A8+29,FALSE)</f>
        <v>0.15010930292554353</v>
      </c>
      <c r="P8" s="38">
        <f>VLOOKUP('Hide - Control'!$B$4,'All practice data'!B:BC,A8+2,FALSE)</f>
        <v>30512.910000000003</v>
      </c>
      <c r="Q8" s="38">
        <f>VLOOKUP('Hide - Control'!$B$4,'All practice data'!B:BC,3,FALSE)</f>
        <v>259945</v>
      </c>
      <c r="R8" s="38">
        <f>+((2*P8+1.96^2-1.96*SQRT(1.96^2+4*P8*(1-P8/Q8)))/(2*(Q8+1.96^2)))</f>
        <v>0.11615044859672471</v>
      </c>
      <c r="S8" s="38">
        <f>+((2*P8+1.96^2+1.96*SQRT(1.96^2+4*P8*(1-P8/Q8)))/(2*(Q8+1.96^2)))</f>
        <v>0.11862521427739675</v>
      </c>
      <c r="T8" s="53">
        <f aca="true" t="shared" si="16" ref="T8:T15">IF($C8=1,M8,I8)</f>
        <v>0.27000001072883606</v>
      </c>
      <c r="U8" s="51">
        <f t="shared" si="1"/>
        <v>0.05000000074505806</v>
      </c>
      <c r="V8" s="7"/>
      <c r="W8" s="27">
        <f t="shared" si="2"/>
        <v>-0.050000011920928955</v>
      </c>
      <c r="X8" s="27">
        <f t="shared" si="3"/>
        <v>0.27000001072883606</v>
      </c>
      <c r="Y8" s="27">
        <f t="shared" si="4"/>
        <v>-0.050000011920928955</v>
      </c>
      <c r="Z8" s="27">
        <f t="shared" si="5"/>
        <v>0.27000001072883606</v>
      </c>
      <c r="AA8" s="32">
        <f t="shared" si="6"/>
        <v>0.31250001746229705</v>
      </c>
      <c r="AB8" s="33">
        <f t="shared" si="7"/>
        <v>0.4062500029103828</v>
      </c>
      <c r="AC8" s="33">
        <v>0.5</v>
      </c>
      <c r="AD8" s="33">
        <f t="shared" si="8"/>
        <v>0.5937499970896172</v>
      </c>
      <c r="AE8" s="33">
        <f t="shared" si="9"/>
        <v>1</v>
      </c>
      <c r="AF8" s="33">
        <f t="shared" si="10"/>
        <v>-999</v>
      </c>
      <c r="AG8" s="33">
        <f t="shared" si="11"/>
        <v>-999</v>
      </c>
      <c r="AH8" s="33">
        <f t="shared" si="12"/>
        <v>0.3437500129220998</v>
      </c>
      <c r="AI8" s="34">
        <f t="shared" si="13"/>
        <v>0.6253415646332281</v>
      </c>
      <c r="AJ8" s="4">
        <v>3.778046717820832</v>
      </c>
      <c r="AK8" s="32">
        <f t="shared" si="14"/>
        <v>0.3437500129220998</v>
      </c>
      <c r="AL8" s="34">
        <f t="shared" si="15"/>
        <v>-999</v>
      </c>
      <c r="AQ8" s="103">
        <v>3</v>
      </c>
      <c r="AR8" s="103">
        <v>0.6187</v>
      </c>
      <c r="AS8" s="103">
        <v>8.7673</v>
      </c>
      <c r="AY8" s="103" t="s">
        <v>118</v>
      </c>
      <c r="AZ8" s="103" t="s">
        <v>119</v>
      </c>
      <c r="BA8" s="103" t="s">
        <v>321</v>
      </c>
      <c r="BB8" s="10">
        <v>244238</v>
      </c>
      <c r="BE8" s="248"/>
      <c r="BF8" s="249"/>
    </row>
    <row r="9" spans="1:58" ht="12.75">
      <c r="A9" s="21">
        <v>4</v>
      </c>
      <c r="B9" s="74" t="str">
        <f>'Indicator chart'!D15</f>
        <v>New cancer cases (Crude incidence rate: new cases per 100,000 population)</v>
      </c>
      <c r="C9" s="21">
        <v>1</v>
      </c>
      <c r="D9" s="46">
        <f>IF(LEFT(VLOOKUP($B9,'Indicator chart'!$D$1:$J$36,4,FALSE),1)=" "," ",VLOOKUP($B9,'Indicator chart'!$D$1:$J$36,4,FALSE))</f>
        <v>27</v>
      </c>
      <c r="E9" s="38">
        <f>IF(LEFT(VLOOKUP($B9,'Indicator chart'!$D$1:$J$36,5,FALSE),1)=" "," ",VLOOKUP($B9,'Indicator chart'!$D$1:$J$36,5,FALSE))</f>
        <v>601.2024048096192</v>
      </c>
      <c r="F9" s="38">
        <f>IF(LEFT(VLOOKUP($B9,'Indicator chart'!$D$1:$J$36,6,FALSE),1)=" "," ",VLOOKUP($B9,'Indicator chart'!$D$1:$J$36,6,FALSE))</f>
        <v>396.0993715002599</v>
      </c>
      <c r="G9" s="38">
        <f>IF(LEFT(VLOOKUP($B9,'Indicator chart'!$D$1:$J$36,7,FALSE),1)=" "," ",VLOOKUP($B9,'Indicator chart'!$D$1:$J$36,7,FALSE))</f>
        <v>874.7570143125905</v>
      </c>
      <c r="H9" s="50">
        <f t="shared" si="0"/>
        <v>2</v>
      </c>
      <c r="I9" s="38">
        <v>92.60600280761719</v>
      </c>
      <c r="J9" s="38">
        <v>403.2649841308594</v>
      </c>
      <c r="K9" s="38">
        <v>554.5095825195312</v>
      </c>
      <c r="L9" s="38">
        <v>647.966552734375</v>
      </c>
      <c r="M9" s="38">
        <v>769.9275512695312</v>
      </c>
      <c r="N9" s="80">
        <f>VLOOKUP('Hide - Control'!B$3,'All practice data'!A:CA,A9+29,FALSE)</f>
        <v>513.9548750697263</v>
      </c>
      <c r="O9" s="80">
        <f>VLOOKUP('Hide - Control'!C$3,'All practice data'!A:CA,A9+29,FALSE)</f>
        <v>445.6198871279627</v>
      </c>
      <c r="P9" s="38">
        <f>VLOOKUP('Hide - Control'!$B$4,'All practice data'!B:BC,A9+2,FALSE)</f>
        <v>1336</v>
      </c>
      <c r="Q9" s="38">
        <f>VLOOKUP('Hide - Control'!$B$4,'All practice data'!B:BC,3,FALSE)</f>
        <v>259945</v>
      </c>
      <c r="R9" s="38">
        <f>100000*(P9*(1-1/(9*P9)-1.96/(3*SQRT(P9)))^3)/Q9</f>
        <v>486.76096606128436</v>
      </c>
      <c r="S9" s="38">
        <f>100000*((P9+1)*(1-1/(9*(P9+1))+1.96/(3*SQRT(P9+1)))^3)/Q9</f>
        <v>542.2725028265565</v>
      </c>
      <c r="T9" s="53">
        <f t="shared" si="16"/>
        <v>769.9275512695312</v>
      </c>
      <c r="U9" s="51">
        <f t="shared" si="1"/>
        <v>92.60600280761719</v>
      </c>
      <c r="V9" s="7"/>
      <c r="W9" s="27">
        <f t="shared" si="2"/>
        <v>92.60600280761719</v>
      </c>
      <c r="X9" s="27">
        <f t="shared" si="3"/>
        <v>1016.4131622314453</v>
      </c>
      <c r="Y9" s="27">
        <f t="shared" si="4"/>
        <v>92.60600280761719</v>
      </c>
      <c r="Z9" s="27">
        <f t="shared" si="5"/>
        <v>1016.4131622314453</v>
      </c>
      <c r="AA9" s="32">
        <f t="shared" si="6"/>
        <v>0</v>
      </c>
      <c r="AB9" s="33">
        <f t="shared" si="7"/>
        <v>0.33628120128122624</v>
      </c>
      <c r="AC9" s="33">
        <v>0.5</v>
      </c>
      <c r="AD9" s="33">
        <f t="shared" si="8"/>
        <v>0.6011650204931646</v>
      </c>
      <c r="AE9" s="33">
        <f t="shared" si="9"/>
        <v>0.73318499597292</v>
      </c>
      <c r="AF9" s="33">
        <f t="shared" si="10"/>
        <v>-999</v>
      </c>
      <c r="AG9" s="33">
        <f t="shared" si="11"/>
        <v>0.5505439060671601</v>
      </c>
      <c r="AH9" s="33">
        <f t="shared" si="12"/>
        <v>-999</v>
      </c>
      <c r="AI9" s="34">
        <f t="shared" si="13"/>
        <v>0.38212940949766805</v>
      </c>
      <c r="AJ9" s="4">
        <v>4.854042143202755</v>
      </c>
      <c r="AK9" s="32">
        <f t="shared" si="14"/>
        <v>-999</v>
      </c>
      <c r="AL9" s="34">
        <f t="shared" si="15"/>
        <v>-999</v>
      </c>
      <c r="AQ9" s="103">
        <v>4</v>
      </c>
      <c r="AR9" s="103">
        <v>1.0899</v>
      </c>
      <c r="AS9" s="103">
        <v>10.2416</v>
      </c>
      <c r="AY9" s="103" t="s">
        <v>90</v>
      </c>
      <c r="AZ9" s="103" t="s">
        <v>385</v>
      </c>
      <c r="BA9" s="103" t="s">
        <v>321</v>
      </c>
      <c r="BB9" s="10">
        <v>110145</v>
      </c>
      <c r="BE9" s="248"/>
      <c r="BF9" s="249"/>
    </row>
    <row r="10" spans="1:58" ht="12.75">
      <c r="A10" s="21">
        <v>5</v>
      </c>
      <c r="B10" s="74" t="str">
        <f>'Indicator chart'!D16</f>
        <v>Cancer deaths (Crude mortality rate: deaths per 100,000 population)</v>
      </c>
      <c r="C10" s="21">
        <v>1</v>
      </c>
      <c r="D10" s="46">
        <f>IF(LEFT(VLOOKUP($B10,'Indicator chart'!$D$1:$J$36,4,FALSE),1)=" "," ",VLOOKUP($B10,'Indicator chart'!$D$1:$J$36,4,FALSE))</f>
        <v>15</v>
      </c>
      <c r="E10" s="38">
        <f>IF(LEFT(VLOOKUP($B10,'Indicator chart'!$D$1:$J$36,5,FALSE),1)=" "," ",VLOOKUP($B10,'Indicator chart'!$D$1:$J$36,5,FALSE))</f>
        <v>334.001336005344</v>
      </c>
      <c r="F10" s="38">
        <f>IF(LEFT(VLOOKUP($B10,'Indicator chart'!$D$1:$J$36,6,FALSE),1)=" "," ",VLOOKUP($B10,'Indicator chart'!$D$1:$J$36,6,FALSE))</f>
        <v>186.79958420666736</v>
      </c>
      <c r="G10" s="38">
        <f>IF(LEFT(VLOOKUP($B10,'Indicator chart'!$D$1:$J$36,7,FALSE),1)=" "," ",VLOOKUP($B10,'Indicator chart'!$D$1:$J$36,7,FALSE))</f>
        <v>550.9201511314049</v>
      </c>
      <c r="H10" s="50">
        <f t="shared" si="0"/>
        <v>2</v>
      </c>
      <c r="I10" s="38">
        <v>44.173431396484375</v>
      </c>
      <c r="J10" s="38">
        <v>200.58306884765625</v>
      </c>
      <c r="K10" s="38">
        <v>270.8102722167969</v>
      </c>
      <c r="L10" s="38">
        <v>316.5858459472656</v>
      </c>
      <c r="M10" s="38">
        <v>498.18841552734375</v>
      </c>
      <c r="N10" s="80">
        <f>VLOOKUP('Hide - Control'!B$3,'All practice data'!A:CA,A10+29,FALSE)</f>
        <v>263.51728250206776</v>
      </c>
      <c r="O10" s="80">
        <f>VLOOKUP('Hide - Control'!C$3,'All practice data'!A:CA,A10+29,FALSE)</f>
        <v>234.12259778895606</v>
      </c>
      <c r="P10" s="38">
        <f>VLOOKUP('Hide - Control'!$B$4,'All practice data'!B:BC,A10+2,FALSE)</f>
        <v>685</v>
      </c>
      <c r="Q10" s="38">
        <f>VLOOKUP('Hide - Control'!$B$4,'All practice data'!B:BC,3,FALSE)</f>
        <v>259945</v>
      </c>
      <c r="R10" s="38">
        <f>100000*(P10*(1-1/(9*P10)-1.96/(3*SQRT(P10)))^3)/Q10</f>
        <v>244.1496941511336</v>
      </c>
      <c r="S10" s="38">
        <f>100000*((P10+1)*(1-1/(9*(P10+1))+1.96/(3*SQRT(P10+1)))^3)/Q10</f>
        <v>284.01261999867177</v>
      </c>
      <c r="T10" s="53">
        <f t="shared" si="16"/>
        <v>498.18841552734375</v>
      </c>
      <c r="U10" s="51">
        <f t="shared" si="1"/>
        <v>44.173431396484375</v>
      </c>
      <c r="V10" s="7"/>
      <c r="W10" s="27">
        <f t="shared" si="2"/>
        <v>43.43212890625</v>
      </c>
      <c r="X10" s="27">
        <f t="shared" si="3"/>
        <v>498.18841552734375</v>
      </c>
      <c r="Y10" s="27">
        <f t="shared" si="4"/>
        <v>43.43212890625</v>
      </c>
      <c r="Z10" s="27">
        <f t="shared" si="5"/>
        <v>498.18841552734375</v>
      </c>
      <c r="AA10" s="32">
        <f t="shared" si="6"/>
        <v>0.0016301093839567603</v>
      </c>
      <c r="AB10" s="33">
        <f t="shared" si="7"/>
        <v>0.34557178111612463</v>
      </c>
      <c r="AC10" s="33">
        <v>0.5</v>
      </c>
      <c r="AD10" s="33">
        <f t="shared" si="8"/>
        <v>0.6006595732201703</v>
      </c>
      <c r="AE10" s="33">
        <f t="shared" si="9"/>
        <v>1</v>
      </c>
      <c r="AF10" s="33">
        <f t="shared" si="10"/>
        <v>-999</v>
      </c>
      <c r="AG10" s="33">
        <f t="shared" si="11"/>
        <v>0.6389558883464065</v>
      </c>
      <c r="AH10" s="33">
        <f t="shared" si="12"/>
        <v>-999</v>
      </c>
      <c r="AI10" s="34">
        <f t="shared" si="13"/>
        <v>0.41932453600491015</v>
      </c>
      <c r="AJ10" s="4">
        <v>5.930037568584676</v>
      </c>
      <c r="AK10" s="32">
        <f t="shared" si="14"/>
        <v>-999</v>
      </c>
      <c r="AL10" s="34">
        <f t="shared" si="15"/>
        <v>-999</v>
      </c>
      <c r="AY10" s="103" t="s">
        <v>96</v>
      </c>
      <c r="AZ10" s="103" t="s">
        <v>97</v>
      </c>
      <c r="BA10" s="103" t="s">
        <v>502</v>
      </c>
      <c r="BB10" s="10">
        <v>195083</v>
      </c>
      <c r="BE10" s="70"/>
      <c r="BF10" s="239"/>
    </row>
    <row r="11" spans="1:58" ht="12.75">
      <c r="A11" s="21">
        <v>6</v>
      </c>
      <c r="B11" s="74" t="str">
        <f>'Indicator chart'!D17</f>
        <v>Prevalent cancer cases (% of practice population on practice cancer register)</v>
      </c>
      <c r="C11" s="21">
        <v>1</v>
      </c>
      <c r="D11" s="46">
        <f>IF(LEFT(VLOOKUP($B11,'Indicator chart'!$D$1:$J$36,4,FALSE),1)=" "," ",VLOOKUP($B11,'Indicator chart'!$D$1:$J$36,4,FALSE))</f>
        <v>103</v>
      </c>
      <c r="E11" s="38">
        <f>IF(LEFT(VLOOKUP($B11,'Indicator chart'!$D$1:$J$36,5,FALSE),1)=" "," ",VLOOKUP($B11,'Indicator chart'!$D$1:$J$36,5,FALSE))</f>
        <v>0.023</v>
      </c>
      <c r="F11" s="38">
        <f>IF(LEFT(VLOOKUP($B11,'Indicator chart'!$D$1:$J$36,6,FALSE),1)=" "," ",VLOOKUP($B11,'Indicator chart'!$D$1:$J$36,6,FALSE))</f>
        <v>0.018947231650534305</v>
      </c>
      <c r="G11" s="38">
        <f>IF(LEFT(VLOOKUP($B11,'Indicator chart'!$D$1:$J$36,7,FALSE),1)=" "," ",VLOOKUP($B11,'Indicator chart'!$D$1:$J$36,7,FALSE))</f>
        <v>0.02773775052992785</v>
      </c>
      <c r="H11" s="50">
        <f t="shared" si="0"/>
        <v>3</v>
      </c>
      <c r="I11" s="38">
        <v>0.008999999612569809</v>
      </c>
      <c r="J11" s="38">
        <v>0.01600000075995922</v>
      </c>
      <c r="K11" s="38">
        <v>0.01850000023841858</v>
      </c>
      <c r="L11" s="38">
        <v>0.020999999716877937</v>
      </c>
      <c r="M11" s="38">
        <v>0.027000000700354576</v>
      </c>
      <c r="N11" s="80">
        <f>VLOOKUP('Hide - Control'!B$3,'All practice data'!A:CA,A11+29,FALSE)</f>
        <v>0.018200003846967627</v>
      </c>
      <c r="O11" s="80">
        <f>VLOOKUP('Hide - Control'!C$3,'All practice data'!A:CA,A11+29,FALSE)</f>
        <v>0.015940726342527432</v>
      </c>
      <c r="P11" s="38">
        <f>VLOOKUP('Hide - Control'!$B$4,'All practice data'!B:BC,A11+2,FALSE)</f>
        <v>4731</v>
      </c>
      <c r="Q11" s="38">
        <f>VLOOKUP('Hide - Control'!$B$4,'All practice data'!B:BC,3,FALSE)</f>
        <v>259945</v>
      </c>
      <c r="R11" s="80">
        <f aca="true" t="shared" si="17" ref="R11:R16">+((2*P11+1.96^2-1.96*SQRT(1.96^2+4*P11*(1-P11/Q11)))/(2*(Q11+1.96^2)))</f>
        <v>0.017693197464832916</v>
      </c>
      <c r="S11" s="80">
        <f aca="true" t="shared" si="18" ref="S11:S16">+((2*P11+1.96^2+1.96*SQRT(1.96^2+4*P11*(1-P11/Q11)))/(2*(Q11+1.96^2)))</f>
        <v>0.01872105059158158</v>
      </c>
      <c r="T11" s="53">
        <f t="shared" si="16"/>
        <v>0.027000000700354576</v>
      </c>
      <c r="U11" s="51">
        <f t="shared" si="1"/>
        <v>0.008999999612569809</v>
      </c>
      <c r="V11" s="7"/>
      <c r="W11" s="27">
        <f t="shared" si="2"/>
        <v>0.008999999612569809</v>
      </c>
      <c r="X11" s="27">
        <f t="shared" si="3"/>
        <v>0.02800000086426735</v>
      </c>
      <c r="Y11" s="27">
        <f t="shared" si="4"/>
        <v>0.008999999612569809</v>
      </c>
      <c r="Z11" s="27">
        <f t="shared" si="5"/>
        <v>0.02800000086426735</v>
      </c>
      <c r="AA11" s="32">
        <f t="shared" si="6"/>
        <v>0</v>
      </c>
      <c r="AB11" s="33">
        <f t="shared" si="7"/>
        <v>0.36842108874934953</v>
      </c>
      <c r="AC11" s="33">
        <v>0.5</v>
      </c>
      <c r="AD11" s="33">
        <f t="shared" si="8"/>
        <v>0.6315789112506505</v>
      </c>
      <c r="AE11" s="33">
        <f t="shared" si="9"/>
        <v>0.9473684158929501</v>
      </c>
      <c r="AF11" s="33">
        <f t="shared" si="10"/>
        <v>-999</v>
      </c>
      <c r="AG11" s="33">
        <f t="shared" si="11"/>
        <v>-999</v>
      </c>
      <c r="AH11" s="33">
        <f t="shared" si="12"/>
        <v>0.7368420771119355</v>
      </c>
      <c r="AI11" s="34">
        <f t="shared" si="13"/>
        <v>0.3653013827742516</v>
      </c>
      <c r="AJ11" s="4">
        <v>7.0060329939666</v>
      </c>
      <c r="AK11" s="32">
        <f t="shared" si="14"/>
        <v>-999</v>
      </c>
      <c r="AL11" s="34">
        <f t="shared" si="15"/>
        <v>0.7368420771119355</v>
      </c>
      <c r="AY11" s="103" t="s">
        <v>214</v>
      </c>
      <c r="AZ11" s="103" t="s">
        <v>215</v>
      </c>
      <c r="BA11" s="103" t="s">
        <v>502</v>
      </c>
      <c r="BB11" s="10">
        <v>416329</v>
      </c>
      <c r="BE11" s="237"/>
      <c r="BF11" s="238"/>
    </row>
    <row r="12" spans="1:58" ht="12.75">
      <c r="A12" s="21">
        <v>7</v>
      </c>
      <c r="B12" s="74" t="str">
        <f>'Indicator chart'!D18</f>
        <v>Females, 50-70, screened for breast cancer in last 36 months (3 year coverage, %)</v>
      </c>
      <c r="C12" s="21">
        <v>1</v>
      </c>
      <c r="D12" s="46">
        <f>IF(LEFT(VLOOKUP($B12,'Indicator chart'!$D$1:$J$36,4,FALSE),1)=" "," ",VLOOKUP($B12,'Indicator chart'!$D$1:$J$36,4,FALSE))</f>
        <v>609</v>
      </c>
      <c r="E12" s="38">
        <f>IF(LEFT(VLOOKUP($B12,'Indicator chart'!$D$1:$J$36,5,FALSE),1)=" "," ",VLOOKUP($B12,'Indicator chart'!$D$1:$J$36,5,FALSE))</f>
        <v>0.794003</v>
      </c>
      <c r="F12" s="38">
        <f>IF(LEFT(VLOOKUP($B12,'Indicator chart'!$D$1:$J$36,6,FALSE),1)=" "," ",VLOOKUP($B12,'Indicator chart'!$D$1:$J$36,6,FALSE))</f>
        <v>0.7639492255558757</v>
      </c>
      <c r="G12" s="38">
        <f>IF(LEFT(VLOOKUP($B12,'Indicator chart'!$D$1:$J$36,7,FALSE),1)=" "," ",VLOOKUP($B12,'Indicator chart'!$D$1:$J$36,7,FALSE))</f>
        <v>0.821125580993226</v>
      </c>
      <c r="H12" s="50">
        <f t="shared" si="0"/>
        <v>3</v>
      </c>
      <c r="I12" s="38">
        <v>0.6555669903755188</v>
      </c>
      <c r="J12" s="38">
        <v>0.7246272563934326</v>
      </c>
      <c r="K12" s="38">
        <v>0.758943498134613</v>
      </c>
      <c r="L12" s="38">
        <v>0.7965267300605774</v>
      </c>
      <c r="M12" s="38">
        <v>0.8329049944877625</v>
      </c>
      <c r="N12" s="80">
        <f>VLOOKUP('Hide - Control'!B$3,'All practice data'!A:CA,A12+29,FALSE)</f>
        <v>0.7622955802784364</v>
      </c>
      <c r="O12" s="80">
        <f>VLOOKUP('Hide - Control'!C$3,'All practice data'!A:CA,A12+29,FALSE)</f>
        <v>0.7248631360507991</v>
      </c>
      <c r="P12" s="38">
        <f>VLOOKUP('Hide - Control'!$B$4,'All practice data'!B:BC,A12+2,FALSE)</f>
        <v>25078</v>
      </c>
      <c r="Q12" s="38">
        <f>VLOOKUP('Hide - Control'!$B$4,'All practice data'!B:BJ,57,FALSE)</f>
        <v>32898</v>
      </c>
      <c r="R12" s="38">
        <f t="shared" si="17"/>
        <v>0.7576651868434117</v>
      </c>
      <c r="S12" s="38">
        <f t="shared" si="18"/>
        <v>0.766864722752895</v>
      </c>
      <c r="T12" s="53">
        <f t="shared" si="16"/>
        <v>0.8329049944877625</v>
      </c>
      <c r="U12" s="51">
        <f t="shared" si="1"/>
        <v>0.6555669903755188</v>
      </c>
      <c r="V12" s="7"/>
      <c r="W12" s="27">
        <f t="shared" si="2"/>
        <v>0.6555669903755188</v>
      </c>
      <c r="X12" s="27">
        <f t="shared" si="3"/>
        <v>0.8623200058937073</v>
      </c>
      <c r="Y12" s="27">
        <f t="shared" si="4"/>
        <v>0.6555669903755188</v>
      </c>
      <c r="Z12" s="27">
        <f t="shared" si="5"/>
        <v>0.8623200058937073</v>
      </c>
      <c r="AA12" s="32">
        <f t="shared" si="6"/>
        <v>0</v>
      </c>
      <c r="AB12" s="33">
        <f t="shared" si="7"/>
        <v>0.3340230170032923</v>
      </c>
      <c r="AC12" s="33">
        <v>0.5</v>
      </c>
      <c r="AD12" s="33">
        <f t="shared" si="8"/>
        <v>0.6817783979197057</v>
      </c>
      <c r="AE12" s="33">
        <f t="shared" si="9"/>
        <v>0.8577287430017816</v>
      </c>
      <c r="AF12" s="33">
        <f t="shared" si="10"/>
        <v>-999</v>
      </c>
      <c r="AG12" s="33">
        <f t="shared" si="11"/>
        <v>-999</v>
      </c>
      <c r="AH12" s="33">
        <f t="shared" si="12"/>
        <v>0.6695719009346334</v>
      </c>
      <c r="AI12" s="34">
        <f t="shared" si="13"/>
        <v>0.33516389350647313</v>
      </c>
      <c r="AJ12" s="4">
        <v>8.082028419348523</v>
      </c>
      <c r="AK12" s="32">
        <f t="shared" si="14"/>
        <v>-999</v>
      </c>
      <c r="AL12" s="34">
        <f t="shared" si="15"/>
        <v>0.6695719009346334</v>
      </c>
      <c r="AY12" s="103" t="s">
        <v>261</v>
      </c>
      <c r="AZ12" s="103" t="s">
        <v>438</v>
      </c>
      <c r="BA12" s="103" t="s">
        <v>321</v>
      </c>
      <c r="BB12" s="10">
        <v>420807</v>
      </c>
      <c r="BE12" s="70"/>
      <c r="BF12" s="239"/>
    </row>
    <row r="13" spans="1:58" ht="12.75">
      <c r="A13" s="21">
        <v>8</v>
      </c>
      <c r="B13" s="74" t="str">
        <f>'Indicator chart'!D19</f>
        <v>Females, 50-70, screened for breast cancer within 6 months of invitation (Uptake, %)</v>
      </c>
      <c r="C13" s="21">
        <v>1</v>
      </c>
      <c r="D13" s="46">
        <f>IF(LEFT(VLOOKUP($B13,'Indicator chart'!$D$1:$J$36,4,FALSE),1)=" "," ",VLOOKUP($B13,'Indicator chart'!$D$1:$J$36,4,FALSE))</f>
        <v>588</v>
      </c>
      <c r="E13" s="38">
        <f>IF(LEFT(VLOOKUP($B13,'Indicator chart'!$D$1:$J$36,5,FALSE),1)=" "," ",VLOOKUP($B13,'Indicator chart'!$D$1:$J$36,5,FALSE))</f>
        <v>0.806584</v>
      </c>
      <c r="F13" s="38">
        <f>IF(LEFT(VLOOKUP($B13,'Indicator chart'!$D$1:$J$36,6,FALSE),1)=" "," ",VLOOKUP($B13,'Indicator chart'!$D$1:$J$36,6,FALSE))</f>
        <v>0.7763350231463206</v>
      </c>
      <c r="G13" s="38">
        <f>IF(LEFT(VLOOKUP($B13,'Indicator chart'!$D$1:$J$36,7,FALSE),1)=" "," ",VLOOKUP($B13,'Indicator chart'!$D$1:$J$36,7,FALSE))</f>
        <v>0.8336194335875766</v>
      </c>
      <c r="H13" s="50">
        <f t="shared" si="0"/>
        <v>2</v>
      </c>
      <c r="I13" s="38">
        <v>0.33333298563957214</v>
      </c>
      <c r="J13" s="38">
        <v>0.6875</v>
      </c>
      <c r="K13" s="38">
        <v>0.7814810276031494</v>
      </c>
      <c r="L13" s="38">
        <v>0.8197267651557922</v>
      </c>
      <c r="M13" s="38">
        <v>0.9166669845581055</v>
      </c>
      <c r="N13" s="80">
        <f>VLOOKUP('Hide - Control'!B$3,'All practice data'!A:CA,A13+29,FALSE)</f>
        <v>0.805815549731686</v>
      </c>
      <c r="O13" s="80">
        <f>VLOOKUP('Hide - Control'!C$3,'All practice data'!A:CA,A13+29,FALSE)</f>
        <v>0.7467412166569077</v>
      </c>
      <c r="P13" s="38">
        <f>VLOOKUP('Hide - Control'!$B$4,'All practice data'!B:BC,A13+2,FALSE)</f>
        <v>12914</v>
      </c>
      <c r="Q13" s="38">
        <f>VLOOKUP('Hide - Control'!$B$4,'All practice data'!B:BJ,58,FALSE)</f>
        <v>16026</v>
      </c>
      <c r="R13" s="38">
        <f t="shared" si="17"/>
        <v>0.7996180849487533</v>
      </c>
      <c r="S13" s="38">
        <f t="shared" si="18"/>
        <v>0.8118664352725818</v>
      </c>
      <c r="T13" s="53">
        <f t="shared" si="16"/>
        <v>0.9166669845581055</v>
      </c>
      <c r="U13" s="51">
        <f t="shared" si="1"/>
        <v>0.33333298563957214</v>
      </c>
      <c r="V13" s="7"/>
      <c r="W13" s="27">
        <f t="shared" si="2"/>
        <v>0.33333298563957214</v>
      </c>
      <c r="X13" s="27">
        <f t="shared" si="3"/>
        <v>1.2296290695667267</v>
      </c>
      <c r="Y13" s="27">
        <f t="shared" si="4"/>
        <v>0.33333298563957214</v>
      </c>
      <c r="Z13" s="27">
        <f t="shared" si="5"/>
        <v>1.2296290695667267</v>
      </c>
      <c r="AA13" s="32">
        <f t="shared" si="6"/>
        <v>0</v>
      </c>
      <c r="AB13" s="33">
        <f t="shared" si="7"/>
        <v>0.3951451096479547</v>
      </c>
      <c r="AC13" s="33">
        <v>0.5</v>
      </c>
      <c r="AD13" s="33">
        <f t="shared" si="8"/>
        <v>0.5426708743220965</v>
      </c>
      <c r="AE13" s="33">
        <f t="shared" si="9"/>
        <v>0.6508273430835866</v>
      </c>
      <c r="AF13" s="33">
        <f t="shared" si="10"/>
        <v>-999</v>
      </c>
      <c r="AG13" s="33">
        <f t="shared" si="11"/>
        <v>0.5280074551780489</v>
      </c>
      <c r="AH13" s="33">
        <f t="shared" si="12"/>
        <v>-999</v>
      </c>
      <c r="AI13" s="34">
        <f t="shared" si="13"/>
        <v>0.4612406976118562</v>
      </c>
      <c r="AJ13" s="4">
        <v>9.158023844730446</v>
      </c>
      <c r="AK13" s="32">
        <f t="shared" si="14"/>
        <v>-999</v>
      </c>
      <c r="AL13" s="34">
        <f t="shared" si="15"/>
        <v>-999</v>
      </c>
      <c r="AY13" s="103" t="s">
        <v>260</v>
      </c>
      <c r="AZ13" s="103" t="s">
        <v>437</v>
      </c>
      <c r="BA13" s="103" t="s">
        <v>321</v>
      </c>
      <c r="BB13" s="10">
        <v>488649</v>
      </c>
      <c r="BE13" s="70"/>
      <c r="BF13" s="239"/>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861</v>
      </c>
      <c r="E14" s="38">
        <f>IF(LEFT(VLOOKUP($B14,'Indicator chart'!$D$1:$J$36,5,FALSE),1)=" "," ",VLOOKUP($B14,'Indicator chart'!$D$1:$J$36,5,FALSE))</f>
        <v>0.792818</v>
      </c>
      <c r="F14" s="38">
        <f>IF(LEFT(VLOOKUP($B14,'Indicator chart'!$D$1:$J$36,6,FALSE),1)=" "," ",VLOOKUP($B14,'Indicator chart'!$D$1:$J$36,6,FALSE))</f>
        <v>0.7677010807023475</v>
      </c>
      <c r="G14" s="38">
        <f>IF(LEFT(VLOOKUP($B14,'Indicator chart'!$D$1:$J$36,7,FALSE),1)=" "," ",VLOOKUP($B14,'Indicator chart'!$D$1:$J$36,7,FALSE))</f>
        <v>0.8158699630162992</v>
      </c>
      <c r="H14" s="50">
        <f t="shared" si="0"/>
        <v>2</v>
      </c>
      <c r="I14" s="38">
        <v>0.6907259821891785</v>
      </c>
      <c r="J14" s="38">
        <v>0.7587724924087524</v>
      </c>
      <c r="K14" s="38">
        <v>0.7916839718818665</v>
      </c>
      <c r="L14" s="38">
        <v>0.8063482642173767</v>
      </c>
      <c r="M14" s="38">
        <v>0.9068769812583923</v>
      </c>
      <c r="N14" s="80">
        <f>VLOOKUP('Hide - Control'!B$3,'All practice data'!A:CA,A14+29,FALSE)</f>
        <v>0.7796071215276097</v>
      </c>
      <c r="O14" s="80">
        <f>VLOOKUP('Hide - Control'!C$3,'All practice data'!A:CA,A14+29,FALSE)</f>
        <v>0.7559681673907895</v>
      </c>
      <c r="P14" s="38">
        <f>VLOOKUP('Hide - Control'!$B$4,'All practice data'!B:BC,A14+2,FALSE)</f>
        <v>48299</v>
      </c>
      <c r="Q14" s="38">
        <f>VLOOKUP('Hide - Control'!$B$4,'All practice data'!B:BJ,59,FALSE)</f>
        <v>61953</v>
      </c>
      <c r="R14" s="38">
        <f t="shared" si="17"/>
        <v>0.7763257539046926</v>
      </c>
      <c r="S14" s="38">
        <f t="shared" si="18"/>
        <v>0.7828538153779353</v>
      </c>
      <c r="T14" s="53">
        <f t="shared" si="16"/>
        <v>0.9068769812583923</v>
      </c>
      <c r="U14" s="51">
        <f t="shared" si="1"/>
        <v>0.6907259821891785</v>
      </c>
      <c r="V14" s="7"/>
      <c r="W14" s="27">
        <f t="shared" si="2"/>
        <v>0.6764909625053406</v>
      </c>
      <c r="X14" s="27">
        <f t="shared" si="3"/>
        <v>0.9068769812583923</v>
      </c>
      <c r="Y14" s="27">
        <f t="shared" si="4"/>
        <v>0.6764909625053406</v>
      </c>
      <c r="Z14" s="27">
        <f t="shared" si="5"/>
        <v>0.9068769812583923</v>
      </c>
      <c r="AA14" s="32">
        <f t="shared" si="6"/>
        <v>0.061787689031148424</v>
      </c>
      <c r="AB14" s="33">
        <f t="shared" si="7"/>
        <v>0.3571463682941999</v>
      </c>
      <c r="AC14" s="33">
        <v>0.5</v>
      </c>
      <c r="AD14" s="33">
        <f t="shared" si="8"/>
        <v>0.563650964650024</v>
      </c>
      <c r="AE14" s="33">
        <f t="shared" si="9"/>
        <v>1</v>
      </c>
      <c r="AF14" s="33">
        <f t="shared" si="10"/>
        <v>-999</v>
      </c>
      <c r="AG14" s="33">
        <f t="shared" si="11"/>
        <v>0.5049222957376989</v>
      </c>
      <c r="AH14" s="33">
        <f t="shared" si="12"/>
        <v>-999</v>
      </c>
      <c r="AI14" s="34">
        <f t="shared" si="13"/>
        <v>0.34497408009224595</v>
      </c>
      <c r="AJ14" s="4">
        <v>10.234019270112368</v>
      </c>
      <c r="AK14" s="32">
        <f t="shared" si="14"/>
        <v>-999</v>
      </c>
      <c r="AL14" s="34">
        <f t="shared" si="15"/>
        <v>-999</v>
      </c>
      <c r="AY14" s="103" t="s">
        <v>53</v>
      </c>
      <c r="AZ14" s="103" t="s">
        <v>445</v>
      </c>
      <c r="BA14" s="103" t="s">
        <v>502</v>
      </c>
      <c r="BB14" s="10">
        <v>229323</v>
      </c>
      <c r="BF14" s="252"/>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480</v>
      </c>
      <c r="E15" s="38">
        <f>IF(LEFT(VLOOKUP($B15,'Indicator chart'!$D$1:$J$36,5,FALSE),1)=" "," ",VLOOKUP($B15,'Indicator chart'!$D$1:$J$36,5,FALSE))</f>
        <v>0.6</v>
      </c>
      <c r="F15" s="38">
        <f>IF(LEFT(VLOOKUP($B15,'Indicator chart'!$D$1:$J$36,6,FALSE),1)=" "," ",VLOOKUP($B15,'Indicator chart'!$D$1:$J$36,6,FALSE))</f>
        <v>0.56565174455384</v>
      </c>
      <c r="G15" s="38">
        <f>IF(LEFT(VLOOKUP($B15,'Indicator chart'!$D$1:$J$36,7,FALSE),1)=" "," ",VLOOKUP($B15,'Indicator chart'!$D$1:$J$36,7,FALSE))</f>
        <v>0.6333924452467375</v>
      </c>
      <c r="H15" s="50">
        <f t="shared" si="0"/>
        <v>2</v>
      </c>
      <c r="I15" s="38">
        <v>0.3798080086708069</v>
      </c>
      <c r="J15" s="38">
        <v>0.5367630124092102</v>
      </c>
      <c r="K15" s="38">
        <v>0.5883070230484009</v>
      </c>
      <c r="L15" s="38">
        <v>0.6126545071601868</v>
      </c>
      <c r="M15" s="38">
        <v>0.6779659986495972</v>
      </c>
      <c r="N15" s="80">
        <f>VLOOKUP('Hide - Control'!B$3,'All practice data'!A:CA,A15+29,FALSE)</f>
        <v>0.5785243741765481</v>
      </c>
      <c r="O15" s="80">
        <f>VLOOKUP('Hide - Control'!C$3,'All practice data'!A:CA,A15+29,FALSE)</f>
        <v>0.5147293797466616</v>
      </c>
      <c r="P15" s="38">
        <f>VLOOKUP('Hide - Control'!$B$4,'All practice data'!B:BC,A15+2,FALSE)</f>
        <v>17564</v>
      </c>
      <c r="Q15" s="38">
        <f>VLOOKUP('Hide - Control'!$B$4,'All practice data'!B:BJ,60,FALSE)</f>
        <v>30360</v>
      </c>
      <c r="R15" s="38">
        <f t="shared" si="17"/>
        <v>0.5729601887637737</v>
      </c>
      <c r="S15" s="38">
        <f t="shared" si="18"/>
        <v>0.5840686899536017</v>
      </c>
      <c r="T15" s="53">
        <f t="shared" si="16"/>
        <v>0.6779659986495972</v>
      </c>
      <c r="U15" s="51">
        <f t="shared" si="1"/>
        <v>0.3798080086708069</v>
      </c>
      <c r="V15" s="7"/>
      <c r="W15" s="27">
        <f t="shared" si="2"/>
        <v>0.3798080086708069</v>
      </c>
      <c r="X15" s="27">
        <f t="shared" si="3"/>
        <v>0.7968060374259949</v>
      </c>
      <c r="Y15" s="27">
        <f t="shared" si="4"/>
        <v>0.3798080086708069</v>
      </c>
      <c r="Z15" s="27">
        <f t="shared" si="5"/>
        <v>0.7968060374259949</v>
      </c>
      <c r="AA15" s="32">
        <f t="shared" si="6"/>
        <v>0</v>
      </c>
      <c r="AB15" s="33">
        <f t="shared" si="7"/>
        <v>0.3763926755407968</v>
      </c>
      <c r="AC15" s="33">
        <v>0.5</v>
      </c>
      <c r="AD15" s="33">
        <f t="shared" si="8"/>
        <v>0.5583875280764933</v>
      </c>
      <c r="AE15" s="33">
        <f t="shared" si="9"/>
        <v>0.7150105502149351</v>
      </c>
      <c r="AF15" s="33">
        <f t="shared" si="10"/>
        <v>-999</v>
      </c>
      <c r="AG15" s="33">
        <f t="shared" si="11"/>
        <v>0.5280408446689896</v>
      </c>
      <c r="AH15" s="33">
        <f t="shared" si="12"/>
        <v>-999</v>
      </c>
      <c r="AI15" s="34">
        <f t="shared" si="13"/>
        <v>0.3235539781293896</v>
      </c>
      <c r="AJ15" s="4">
        <v>11.310014695494289</v>
      </c>
      <c r="AK15" s="32">
        <f t="shared" si="14"/>
        <v>-999</v>
      </c>
      <c r="AL15" s="34">
        <f t="shared" si="15"/>
        <v>-999</v>
      </c>
      <c r="AY15" s="103" t="s">
        <v>229</v>
      </c>
      <c r="AZ15" s="103" t="s">
        <v>230</v>
      </c>
      <c r="BA15" s="103" t="s">
        <v>321</v>
      </c>
      <c r="BB15" s="10">
        <v>445126</v>
      </c>
      <c r="BF15" s="252"/>
    </row>
    <row r="16" spans="1:58" ht="12.75">
      <c r="A16" s="21">
        <v>11</v>
      </c>
      <c r="B16" s="74" t="str">
        <f>'Indicator chart'!D22</f>
        <v>Persons, 60-69, screened for bowel cancer within 6 months of invitation (Uptake, %)</v>
      </c>
      <c r="C16" s="21">
        <v>1</v>
      </c>
      <c r="D16" s="46">
        <f>IF(LEFT(VLOOKUP($B16,'Indicator chart'!$D$1:$J$36,4,FALSE),1)=" "," ",VLOOKUP($B16,'Indicator chart'!$D$1:$J$36,4,FALSE))</f>
        <v>255</v>
      </c>
      <c r="E16" s="38">
        <f>IF(LEFT(VLOOKUP($B16,'Indicator chart'!$D$1:$J$36,5,FALSE),1)=" "," ",VLOOKUP($B16,'Indicator chart'!$D$1:$J$36,5,FALSE))</f>
        <v>0.648855</v>
      </c>
      <c r="F16" s="38">
        <f>IF(LEFT(VLOOKUP($B16,'Indicator chart'!$D$1:$J$36,6,FALSE),1)=" "," ",VLOOKUP($B16,'Indicator chart'!$D$1:$J$36,6,FALSE))</f>
        <v>0.6004279357279795</v>
      </c>
      <c r="G16" s="38">
        <f>IF(LEFT(VLOOKUP($B16,'Indicator chart'!$D$1:$J$36,7,FALSE),1)=" "," ",VLOOKUP($B16,'Indicator chart'!$D$1:$J$36,7,FALSE))</f>
        <v>0.6944000258566931</v>
      </c>
      <c r="H16" s="50">
        <f t="shared" si="0"/>
        <v>2</v>
      </c>
      <c r="I16" s="38">
        <v>0.33333298563957214</v>
      </c>
      <c r="J16" s="38">
        <v>0.5663625001907349</v>
      </c>
      <c r="K16" s="38">
        <v>0.5938680171966553</v>
      </c>
      <c r="L16" s="38">
        <v>0.640577495098114</v>
      </c>
      <c r="M16" s="38">
        <v>0.7098979949951172</v>
      </c>
      <c r="N16" s="80">
        <f>VLOOKUP('Hide - Control'!B$3,'All practice data'!A:CA,A16+29,FALSE)</f>
        <v>0.6052025024695423</v>
      </c>
      <c r="O16" s="80">
        <f>VLOOKUP('Hide - Control'!C$3,'All practice data'!A:CA,A16+29,FALSE)</f>
        <v>0.5752927626212945</v>
      </c>
      <c r="P16" s="38">
        <f>VLOOKUP('Hide - Control'!$B$4,'All practice data'!B:BC,A16+2,FALSE)</f>
        <v>9190</v>
      </c>
      <c r="Q16" s="38">
        <f>VLOOKUP('Hide - Control'!$B$4,'All practice data'!B:BJ,61,FALSE)</f>
        <v>15185</v>
      </c>
      <c r="R16" s="38">
        <f t="shared" si="17"/>
        <v>0.5974020858167075</v>
      </c>
      <c r="S16" s="38">
        <f t="shared" si="18"/>
        <v>0.6129497029596005</v>
      </c>
      <c r="T16" s="53">
        <f aca="true" t="shared" si="19" ref="T16:T31">IF($C16=1,M16,I16)</f>
        <v>0.7098979949951172</v>
      </c>
      <c r="U16" s="51">
        <f aca="true" t="shared" si="20" ref="U16:U31">IF($C16=1,I16,M16)</f>
        <v>0.33333298563957214</v>
      </c>
      <c r="V16" s="7"/>
      <c r="W16" s="27">
        <f t="shared" si="2"/>
        <v>0.33333298563957214</v>
      </c>
      <c r="X16" s="27">
        <f t="shared" si="3"/>
        <v>0.8544030487537384</v>
      </c>
      <c r="Y16" s="27">
        <f t="shared" si="4"/>
        <v>0.33333298563957214</v>
      </c>
      <c r="Z16" s="27">
        <f t="shared" si="5"/>
        <v>0.8544030487537384</v>
      </c>
      <c r="AA16" s="32">
        <f t="shared" si="6"/>
        <v>0</v>
      </c>
      <c r="AB16" s="33">
        <f t="shared" si="7"/>
        <v>0.4472133999763215</v>
      </c>
      <c r="AC16" s="33">
        <v>0.5</v>
      </c>
      <c r="AD16" s="33">
        <f t="shared" si="8"/>
        <v>0.589641453631591</v>
      </c>
      <c r="AE16" s="33">
        <f t="shared" si="9"/>
        <v>0.7226763462575662</v>
      </c>
      <c r="AF16" s="33">
        <f t="shared" si="10"/>
        <v>-999</v>
      </c>
      <c r="AG16" s="33">
        <f t="shared" si="11"/>
        <v>0.6055270427065335</v>
      </c>
      <c r="AH16" s="33">
        <f t="shared" si="12"/>
        <v>-999</v>
      </c>
      <c r="AI16" s="34">
        <f t="shared" si="13"/>
        <v>0.4643517141162436</v>
      </c>
      <c r="AJ16" s="4">
        <v>12.386010120876215</v>
      </c>
      <c r="AK16" s="32">
        <f t="shared" si="14"/>
        <v>-999</v>
      </c>
      <c r="AL16" s="34">
        <f t="shared" si="15"/>
        <v>-999</v>
      </c>
      <c r="AY16" s="103" t="s">
        <v>320</v>
      </c>
      <c r="AZ16" s="103" t="s">
        <v>340</v>
      </c>
      <c r="BA16" s="103" t="s">
        <v>502</v>
      </c>
      <c r="BB16" s="10">
        <v>165919</v>
      </c>
      <c r="BF16" s="252"/>
    </row>
    <row r="17" spans="1:58" ht="12.75">
      <c r="A17" s="21">
        <v>12</v>
      </c>
      <c r="B17" s="74" t="str">
        <f>'Indicator chart'!D23</f>
        <v>Two-week wait referrals (Number per 100,000 population)</v>
      </c>
      <c r="C17" s="21">
        <v>1</v>
      </c>
      <c r="D17" s="46">
        <f>IF(LEFT(VLOOKUP($B17,'Indicator chart'!$D$1:$J$36,4,FALSE),1)=" "," ",VLOOKUP($B17,'Indicator chart'!$D$1:$J$36,4,FALSE))</f>
        <v>76</v>
      </c>
      <c r="E17" s="38">
        <f>IF(LEFT(VLOOKUP($B17,'Indicator chart'!$D$1:$J$36,5,FALSE),1)=" "," ",VLOOKUP($B17,'Indicator chart'!$D$1:$J$36,5,FALSE))</f>
        <v>1692.2734357604097</v>
      </c>
      <c r="F17" s="38">
        <f>IF(LEFT(VLOOKUP($B17,'Indicator chart'!$D$1:$J$36,6,FALSE),1)=" "," ",VLOOKUP($B17,'Indicator chart'!$D$1:$J$36,6,FALSE))</f>
        <v>1333.2635817694284</v>
      </c>
      <c r="G17" s="38">
        <f>IF(LEFT(VLOOKUP($B17,'Indicator chart'!$D$1:$J$36,7,FALSE),1)=" "," ",VLOOKUP($B17,'Indicator chart'!$D$1:$J$36,7,FALSE))</f>
        <v>2118.1684076465854</v>
      </c>
      <c r="H17" s="50">
        <f t="shared" si="0"/>
        <v>2</v>
      </c>
      <c r="I17" s="38">
        <v>991.7355346679688</v>
      </c>
      <c r="J17" s="38">
        <v>1767.1129150390625</v>
      </c>
      <c r="K17" s="38">
        <v>1991.6929931640625</v>
      </c>
      <c r="L17" s="38">
        <v>2301.43701171875</v>
      </c>
      <c r="M17" s="38">
        <v>4166.66650390625</v>
      </c>
      <c r="N17" s="80">
        <f>VLOOKUP('Hide - Control'!B$3,'All practice data'!A:CA,A17+29,FALSE)</f>
        <v>2078.516609282733</v>
      </c>
      <c r="O17" s="80">
        <f>VLOOKUP('Hide - Control'!C$3,'All practice data'!A:CA,A17+29,FALSE)</f>
        <v>1812.1669120472948</v>
      </c>
      <c r="P17" s="38">
        <f>VLOOKUP('Hide - Control'!$B$4,'All practice data'!B:BC,A17+2,FALSE)</f>
        <v>5403</v>
      </c>
      <c r="Q17" s="38">
        <f>VLOOKUP('Hide - Control'!$B$4,'All practice data'!B:BC,3,FALSE)</f>
        <v>259945</v>
      </c>
      <c r="R17" s="38">
        <f>100000*(P17*(1-1/(9*P17)-1.96/(3*SQRT(P17)))^3)/Q17</f>
        <v>2023.4585440813687</v>
      </c>
      <c r="S17" s="38">
        <f>100000*((P17+1)*(1-1/(9*(P17+1))+1.96/(3*SQRT(P17+1)))^3)/Q17</f>
        <v>2134.6932545814243</v>
      </c>
      <c r="T17" s="53">
        <f t="shared" si="19"/>
        <v>4166.66650390625</v>
      </c>
      <c r="U17" s="51">
        <f t="shared" si="20"/>
        <v>991.7355346679688</v>
      </c>
      <c r="V17" s="7"/>
      <c r="W17" s="27">
        <f t="shared" si="2"/>
        <v>-183.280517578125</v>
      </c>
      <c r="X17" s="27">
        <f t="shared" si="3"/>
        <v>4166.66650390625</v>
      </c>
      <c r="Y17" s="27">
        <f t="shared" si="4"/>
        <v>-183.280517578125</v>
      </c>
      <c r="Z17" s="27">
        <f t="shared" si="5"/>
        <v>4166.66650390625</v>
      </c>
      <c r="AA17" s="32">
        <f t="shared" si="6"/>
        <v>0.27012192250680134</v>
      </c>
      <c r="AB17" s="33">
        <f t="shared" si="7"/>
        <v>0.4483717670546791</v>
      </c>
      <c r="AC17" s="33">
        <v>0.5</v>
      </c>
      <c r="AD17" s="33">
        <f t="shared" si="8"/>
        <v>0.5712063887272334</v>
      </c>
      <c r="AE17" s="33">
        <f t="shared" si="9"/>
        <v>1</v>
      </c>
      <c r="AF17" s="33">
        <f t="shared" si="10"/>
        <v>-999</v>
      </c>
      <c r="AG17" s="33">
        <f t="shared" si="11"/>
        <v>0.43116707952422856</v>
      </c>
      <c r="AH17" s="33">
        <f t="shared" si="12"/>
        <v>-999</v>
      </c>
      <c r="AI17" s="34">
        <f t="shared" si="13"/>
        <v>0.4587291338882775</v>
      </c>
      <c r="AJ17" s="4">
        <v>13.462005546258133</v>
      </c>
      <c r="AK17" s="32">
        <f t="shared" si="14"/>
        <v>-999</v>
      </c>
      <c r="AL17" s="34">
        <f t="shared" si="15"/>
        <v>-999</v>
      </c>
      <c r="AY17" s="103" t="s">
        <v>103</v>
      </c>
      <c r="AZ17" s="103" t="s">
        <v>104</v>
      </c>
      <c r="BA17" s="103" t="s">
        <v>321</v>
      </c>
      <c r="BB17" s="10">
        <v>140964</v>
      </c>
      <c r="BF17" s="252"/>
    </row>
    <row r="18" spans="1:58" ht="12.75">
      <c r="A18" s="21">
        <v>13</v>
      </c>
      <c r="B18" s="74" t="str">
        <f>'Indicator chart'!D24</f>
        <v>Two-week wait referrals (Indirectly age standardised referral ratio)</v>
      </c>
      <c r="C18" s="21">
        <v>1</v>
      </c>
      <c r="D18" s="46">
        <f>IF(LEFT(VLOOKUP($B18,'Indicator chart'!$D$1:$J$36,4,FALSE),1)=" "," ",VLOOKUP($B18,'Indicator chart'!$D$1:$J$36,4,FALSE))</f>
        <v>76</v>
      </c>
      <c r="E18" s="80">
        <f>IF(LEFT(VLOOKUP($B18,'Indicator chart'!$D$1:$J$36,5,FALSE),1)=" "," ",VLOOKUP($B18,'Indicator chart'!$D$1:$J$36,5,FALSE))</f>
        <v>0.7213931274</v>
      </c>
      <c r="F18" s="81">
        <f>IF(LEFT(VLOOKUP($B18,'Indicator chart'!$D$1:$J$36,6,FALSE),1)=" "," ",VLOOKUP($B18,'Indicator chart'!$D$1:$J$36,6,FALSE))</f>
        <v>0.5683757782</v>
      </c>
      <c r="G18" s="38">
        <f>IF(LEFT(VLOOKUP($B18,'Indicator chart'!$D$1:$J$36,7,FALSE),1)=" "," ",VLOOKUP($B18,'Indicator chart'!$D$1:$J$36,7,FALSE))</f>
        <v>0.9029311371</v>
      </c>
      <c r="H18" s="50">
        <f>IF(LEFT(F18,1)=" ",4,IF(AND(ABS(N18-E18)&gt;SQRT((E18-G18)^2+(N18-R18)^2),E18&lt;N18),1,IF(AND(ABS(N18-E18)&gt;SQRT((E18-F18)^2+(N18-S18)^2),E18&gt;N18),3,2)))</f>
        <v>1</v>
      </c>
      <c r="I18" s="38">
        <v>0.4532563090324402</v>
      </c>
      <c r="J18" s="38"/>
      <c r="K18" s="38">
        <v>1</v>
      </c>
      <c r="L18" s="38"/>
      <c r="M18" s="38">
        <v>1.8197444677352905</v>
      </c>
      <c r="N18" s="80">
        <v>1</v>
      </c>
      <c r="O18" s="80">
        <f>VLOOKUP('Hide - Control'!C$3,'All practice data'!A:CA,A18+29,FALSE)</f>
        <v>1</v>
      </c>
      <c r="P18" s="38">
        <f>VLOOKUP('Hide - Control'!$B$4,'All practice data'!B:BC,A18+2,FALSE)</f>
        <v>5403</v>
      </c>
      <c r="Q18" s="38">
        <f>VLOOKUP('Hide - Control'!$B$4,'All practice data'!B:BC,14,FALSE)</f>
        <v>5403</v>
      </c>
      <c r="R18" s="81">
        <v>1</v>
      </c>
      <c r="S18" s="38">
        <v>1</v>
      </c>
      <c r="T18" s="53">
        <f t="shared" si="19"/>
        <v>1.8197444677352905</v>
      </c>
      <c r="U18" s="51">
        <f t="shared" si="20"/>
        <v>0.4532563090324402</v>
      </c>
      <c r="V18" s="7"/>
      <c r="W18" s="27">
        <f>IF((K18-I18)&gt;(M18-K18),I18,(K18-(M18-K18)))</f>
        <v>0.18025553226470947</v>
      </c>
      <c r="X18" s="27">
        <f t="shared" si="3"/>
        <v>1.8197444677352905</v>
      </c>
      <c r="Y18" s="27">
        <f t="shared" si="4"/>
        <v>0.18025553226470947</v>
      </c>
      <c r="Z18" s="27">
        <f t="shared" si="5"/>
        <v>1.8197444677352905</v>
      </c>
      <c r="AA18" s="32" t="s">
        <v>321</v>
      </c>
      <c r="AB18" s="33" t="s">
        <v>321</v>
      </c>
      <c r="AC18" s="33">
        <v>0.5</v>
      </c>
      <c r="AD18" s="33" t="s">
        <v>321</v>
      </c>
      <c r="AE18" s="33" t="s">
        <v>321</v>
      </c>
      <c r="AF18" s="33">
        <f t="shared" si="10"/>
        <v>-999</v>
      </c>
      <c r="AG18" s="33">
        <f t="shared" si="11"/>
        <v>-999</v>
      </c>
      <c r="AH18" s="33">
        <f t="shared" si="12"/>
        <v>0.3300648046032517</v>
      </c>
      <c r="AI18" s="34">
        <v>0.5</v>
      </c>
      <c r="AJ18" s="4">
        <v>14.538000971640056</v>
      </c>
      <c r="AK18" s="32">
        <f t="shared" si="14"/>
        <v>0.3300648046032517</v>
      </c>
      <c r="AL18" s="34">
        <f t="shared" si="15"/>
        <v>-999</v>
      </c>
      <c r="AY18" s="103" t="s">
        <v>105</v>
      </c>
      <c r="AZ18" s="103" t="s">
        <v>106</v>
      </c>
      <c r="BA18" s="103" t="s">
        <v>321</v>
      </c>
      <c r="BB18" s="10">
        <v>293119</v>
      </c>
      <c r="BE18" s="70"/>
      <c r="BF18" s="239"/>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8</v>
      </c>
      <c r="E19" s="38">
        <f>IF(LEFT(VLOOKUP($B19,'Indicator chart'!$D$1:$J$36,5,FALSE),1)=" "," ",VLOOKUP($B19,'Indicator chart'!$D$1:$J$36,5,FALSE))</f>
        <v>0.10526315789473684</v>
      </c>
      <c r="F19" s="38">
        <f>IF(LEFT(VLOOKUP($B19,'Indicator chart'!$D$1:$J$36,6,FALSE),1)=" "," ",VLOOKUP($B19,'Indicator chart'!$D$1:$J$36,6,FALSE))</f>
        <v>0.054310612607017986</v>
      </c>
      <c r="G19" s="38">
        <f>IF(LEFT(VLOOKUP($B19,'Indicator chart'!$D$1:$J$36,7,FALSE),1)=" "," ",VLOOKUP($B19,'Indicator chart'!$D$1:$J$36,7,FALSE))</f>
        <v>0.19420144125963798</v>
      </c>
      <c r="H19" s="50">
        <f t="shared" si="0"/>
        <v>2</v>
      </c>
      <c r="I19" s="38">
        <v>0.02070442959666252</v>
      </c>
      <c r="J19" s="38">
        <v>0.10576729476451874</v>
      </c>
      <c r="K19" s="38">
        <v>0.12394717335700989</v>
      </c>
      <c r="L19" s="38">
        <v>0.15289069712162018</v>
      </c>
      <c r="M19" s="38">
        <v>0.23711340129375458</v>
      </c>
      <c r="N19" s="80">
        <f>VLOOKUP('Hide - Control'!B$3,'All practice data'!A:CA,A19+29,FALSE)</f>
        <v>0.12382009994447529</v>
      </c>
      <c r="O19" s="80">
        <f>VLOOKUP('Hide - Control'!C$3,'All practice data'!A:CA,A19+29,FALSE)</f>
        <v>0.10919341638628717</v>
      </c>
      <c r="P19" s="38">
        <f>VLOOKUP('Hide - Control'!$B$4,'All practice data'!B:BC,A19+2,FALSE)</f>
        <v>669</v>
      </c>
      <c r="Q19" s="38">
        <f>VLOOKUP('Hide - Control'!$B$4,'All practice data'!B:BC,15,FALSE)</f>
        <v>5403</v>
      </c>
      <c r="R19" s="38">
        <f>+((2*P19+1.96^2-1.96*SQRT(1.96^2+4*P19*(1-P19/Q19)))/(2*(Q19+1.96^2)))</f>
        <v>0.11530367593793378</v>
      </c>
      <c r="S19" s="38">
        <f>+((2*P19+1.96^2+1.96*SQRT(1.96^2+4*P19*(1-P19/Q19)))/(2*(Q19+1.96^2)))</f>
        <v>0.13287108102184103</v>
      </c>
      <c r="T19" s="53">
        <f t="shared" si="19"/>
        <v>0.23711340129375458</v>
      </c>
      <c r="U19" s="51">
        <f t="shared" si="20"/>
        <v>0.02070442959666252</v>
      </c>
      <c r="V19" s="7"/>
      <c r="W19" s="27">
        <f t="shared" si="2"/>
        <v>0.010780945420265198</v>
      </c>
      <c r="X19" s="27">
        <f t="shared" si="3"/>
        <v>0.23711340129375458</v>
      </c>
      <c r="Y19" s="27">
        <f t="shared" si="4"/>
        <v>0.010780945420265198</v>
      </c>
      <c r="Z19" s="27">
        <f t="shared" si="5"/>
        <v>0.23711340129375458</v>
      </c>
      <c r="AA19" s="32">
        <f t="shared" si="6"/>
        <v>0.04384472451420819</v>
      </c>
      <c r="AB19" s="33">
        <f t="shared" si="7"/>
        <v>0.4196762191161264</v>
      </c>
      <c r="AC19" s="33">
        <v>0.5</v>
      </c>
      <c r="AD19" s="33">
        <f t="shared" si="8"/>
        <v>0.6278805713166853</v>
      </c>
      <c r="AE19" s="33">
        <f t="shared" si="9"/>
        <v>1</v>
      </c>
      <c r="AF19" s="33">
        <f t="shared" si="10"/>
        <v>-999</v>
      </c>
      <c r="AG19" s="33">
        <f t="shared" si="11"/>
        <v>0.41744880163048004</v>
      </c>
      <c r="AH19" s="33">
        <f t="shared" si="12"/>
        <v>-999</v>
      </c>
      <c r="AI19" s="34">
        <f t="shared" si="13"/>
        <v>0.43481378128566117</v>
      </c>
      <c r="AJ19" s="4">
        <v>15.61399639702198</v>
      </c>
      <c r="AK19" s="32">
        <f t="shared" si="14"/>
        <v>-999</v>
      </c>
      <c r="AL19" s="34">
        <f t="shared" si="15"/>
        <v>-999</v>
      </c>
      <c r="AY19" s="103" t="s">
        <v>270</v>
      </c>
      <c r="AZ19" s="103" t="s">
        <v>441</v>
      </c>
      <c r="BA19" s="103" t="s">
        <v>321</v>
      </c>
      <c r="BB19" s="10">
        <v>366645</v>
      </c>
      <c r="BE19" s="70"/>
      <c r="BF19" s="249"/>
    </row>
    <row r="20" spans="1:58" ht="12.75">
      <c r="A20" s="21">
        <v>15</v>
      </c>
      <c r="B20" s="74" t="str">
        <f>'Indicator chart'!D26</f>
        <v>Number of new cancer cases treated (% of which are TWW referrals)</v>
      </c>
      <c r="C20" s="21">
        <v>1</v>
      </c>
      <c r="D20" s="46">
        <f>IF(LEFT(VLOOKUP($B20,'Indicator chart'!$D$1:$J$36,4,FALSE),1)=" "," ",VLOOKUP($B20,'Indicator chart'!$D$1:$J$36,4,FALSE))</f>
        <v>26</v>
      </c>
      <c r="E20" s="38">
        <f>IF(LEFT(VLOOKUP($B20,'Indicator chart'!$D$1:$J$36,5,FALSE),1)=" "," ",VLOOKUP($B20,'Indicator chart'!$D$1:$J$36,5,FALSE))</f>
        <v>0.3076923076923077</v>
      </c>
      <c r="F20" s="38">
        <f>IF(LEFT(VLOOKUP($B20,'Indicator chart'!$D$1:$J$36,6,FALSE),1)=" "," ",VLOOKUP($B20,'Indicator chart'!$D$1:$J$36,6,FALSE))</f>
        <v>0.16501120939792674</v>
      </c>
      <c r="G20" s="38">
        <f>IF(LEFT(VLOOKUP($B20,'Indicator chart'!$D$1:$J$36,7,FALSE),1)=" "," ",VLOOKUP($B20,'Indicator chart'!$D$1:$J$36,7,FALSE))</f>
        <v>0.4998861151423124</v>
      </c>
      <c r="H20" s="50">
        <f t="shared" si="0"/>
        <v>1</v>
      </c>
      <c r="I20" s="38">
        <v>0.09238772839307785</v>
      </c>
      <c r="J20" s="38">
        <v>0.45288461446762085</v>
      </c>
      <c r="K20" s="38">
        <v>0.5211640000343323</v>
      </c>
      <c r="L20" s="38">
        <v>0.5737082362174988</v>
      </c>
      <c r="M20" s="38">
        <v>0.7647058963775635</v>
      </c>
      <c r="N20" s="80">
        <f>VLOOKUP('Hide - Control'!B$3,'All practice data'!A:CA,A20+29,FALSE)</f>
        <v>0.5130368098159509</v>
      </c>
      <c r="O20" s="80">
        <f>VLOOKUP('Hide - Control'!C$3,'All practice data'!A:CA,A20+29,FALSE)</f>
        <v>0.4534552930810221</v>
      </c>
      <c r="P20" s="38">
        <f>VLOOKUP('Hide - Control'!$B$4,'All practice data'!B:BC,A20+1,FALSE)</f>
        <v>669</v>
      </c>
      <c r="Q20" s="38">
        <f>VLOOKUP('Hide - Control'!$B$4,'All practice data'!B:BC,A20+2,FALSE)</f>
        <v>1304</v>
      </c>
      <c r="R20" s="38">
        <f>+((2*P20+1.96^2-1.96*SQRT(1.96^2+4*P20*(1-P20/Q20)))/(2*(Q20+1.96^2)))</f>
        <v>0.4859089990276872</v>
      </c>
      <c r="S20" s="38">
        <f>+((2*P20+1.96^2+1.96*SQRT(1.96^2+4*P20*(1-P20/Q20)))/(2*(Q20+1.96^2)))</f>
        <v>0.5400880330287943</v>
      </c>
      <c r="T20" s="53">
        <f t="shared" si="19"/>
        <v>0.7647058963775635</v>
      </c>
      <c r="U20" s="51">
        <f t="shared" si="20"/>
        <v>0.09238772839307785</v>
      </c>
      <c r="V20" s="7"/>
      <c r="W20" s="27">
        <f t="shared" si="2"/>
        <v>0.09238772839307785</v>
      </c>
      <c r="X20" s="27">
        <f t="shared" si="3"/>
        <v>0.9499402716755867</v>
      </c>
      <c r="Y20" s="27">
        <f t="shared" si="4"/>
        <v>0.09238772839307785</v>
      </c>
      <c r="Z20" s="27">
        <f t="shared" si="5"/>
        <v>0.9499402716755867</v>
      </c>
      <c r="AA20" s="32">
        <f t="shared" si="6"/>
        <v>0</v>
      </c>
      <c r="AB20" s="33">
        <f t="shared" si="7"/>
        <v>0.420378773170733</v>
      </c>
      <c r="AC20" s="33">
        <v>0.5</v>
      </c>
      <c r="AD20" s="33">
        <f t="shared" si="8"/>
        <v>0.5612723227221035</v>
      </c>
      <c r="AE20" s="33">
        <f t="shared" si="9"/>
        <v>0.783996471412714</v>
      </c>
      <c r="AF20" s="33">
        <f t="shared" si="10"/>
        <v>-999</v>
      </c>
      <c r="AG20" s="33">
        <f t="shared" si="11"/>
        <v>-999</v>
      </c>
      <c r="AH20" s="33">
        <f t="shared" si="12"/>
        <v>0.25106867326763993</v>
      </c>
      <c r="AI20" s="34">
        <f t="shared" si="13"/>
        <v>0.4210442468118196</v>
      </c>
      <c r="AJ20" s="4">
        <v>16.689991822403904</v>
      </c>
      <c r="AK20" s="32">
        <f t="shared" si="14"/>
        <v>0.25106867326763993</v>
      </c>
      <c r="AL20" s="34">
        <f t="shared" si="15"/>
        <v>-999</v>
      </c>
      <c r="AY20" s="103" t="s">
        <v>211</v>
      </c>
      <c r="AZ20" s="103" t="s">
        <v>422</v>
      </c>
      <c r="BA20" s="103" t="s">
        <v>321</v>
      </c>
      <c r="BB20" s="10">
        <v>537833</v>
      </c>
      <c r="BE20" s="70"/>
      <c r="BF20" s="241"/>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17</v>
      </c>
      <c r="E21" s="38">
        <f>IF(LEFT(VLOOKUP($B21,'Indicator chart'!$D$1:$J$36,5,FALSE),1)=" "," ",VLOOKUP($B21,'Indicator chart'!$D$1:$J$36,5,FALSE))</f>
        <v>378.53484747272324</v>
      </c>
      <c r="F21" s="38">
        <f>IF(LEFT(VLOOKUP($B21,'Indicator chart'!$D$1:$J$36,6,FALSE),1)=" "," ",VLOOKUP($B21,'Indicator chart'!$D$1:$J$36,6,FALSE))</f>
        <v>220.38239973673356</v>
      </c>
      <c r="G21" s="38">
        <f>IF(LEFT(VLOOKUP($B21,'Indicator chart'!$D$1:$J$36,7,FALSE),1)=" "," ",VLOOKUP($B21,'Indicator chart'!$D$1:$J$36,7,FALSE))</f>
        <v>606.1080097442641</v>
      </c>
      <c r="H21" s="50">
        <f t="shared" si="0"/>
        <v>2</v>
      </c>
      <c r="I21" s="38">
        <v>61.46357345581055</v>
      </c>
      <c r="J21" s="38">
        <v>345.50164794921875</v>
      </c>
      <c r="K21" s="38">
        <v>399.4059143066406</v>
      </c>
      <c r="L21" s="38">
        <v>501.3370666503906</v>
      </c>
      <c r="M21" s="38">
        <v>960.6148071289062</v>
      </c>
      <c r="N21" s="80">
        <f>VLOOKUP('Hide - Control'!B$3,'All practice data'!A:CA,A21+29,FALSE)</f>
        <v>417.39598761276426</v>
      </c>
      <c r="O21" s="80">
        <f>VLOOKUP('Hide - Control'!C$3,'All practice data'!A:CA,A21+29,FALSE)</f>
        <v>377.7293140102421</v>
      </c>
      <c r="P21" s="38">
        <f>VLOOKUP('Hide - Control'!$B$4,'All practice data'!B:BC,A21+2,FALSE)</f>
        <v>1085</v>
      </c>
      <c r="Q21" s="38">
        <f>VLOOKUP('Hide - Control'!$B$4,'All practice data'!B:BC,3,FALSE)</f>
        <v>259945</v>
      </c>
      <c r="R21" s="38">
        <f aca="true" t="shared" si="21" ref="R21:R27">100000*(P21*(1-1/(9*P21)-1.96/(3*SQRT(P21)))^3)/Q21</f>
        <v>392.92571744837176</v>
      </c>
      <c r="S21" s="38">
        <f aca="true" t="shared" si="22" ref="S21:S27">100000*((P21+1)*(1-1/(9*(P21+1))+1.96/(3*SQRT(P21+1)))^3)/Q21</f>
        <v>442.99109306379097</v>
      </c>
      <c r="T21" s="53">
        <f t="shared" si="19"/>
        <v>960.6148071289062</v>
      </c>
      <c r="U21" s="51">
        <f t="shared" si="20"/>
        <v>61.46357345581055</v>
      </c>
      <c r="V21" s="7"/>
      <c r="W21" s="27">
        <f t="shared" si="2"/>
        <v>-161.802978515625</v>
      </c>
      <c r="X21" s="27">
        <f t="shared" si="3"/>
        <v>960.6148071289062</v>
      </c>
      <c r="Y21" s="27">
        <f t="shared" si="4"/>
        <v>-161.802978515625</v>
      </c>
      <c r="Z21" s="27">
        <f t="shared" si="5"/>
        <v>960.6148071289062</v>
      </c>
      <c r="AA21" s="32">
        <f t="shared" si="6"/>
        <v>0.1989157289085794</v>
      </c>
      <c r="AB21" s="33">
        <f t="shared" si="7"/>
        <v>0.4519748643982257</v>
      </c>
      <c r="AC21" s="33">
        <v>0.5</v>
      </c>
      <c r="AD21" s="33">
        <f t="shared" si="8"/>
        <v>0.5908139140767603</v>
      </c>
      <c r="AE21" s="33">
        <f t="shared" si="9"/>
        <v>1</v>
      </c>
      <c r="AF21" s="33">
        <f t="shared" si="10"/>
        <v>-999</v>
      </c>
      <c r="AG21" s="33">
        <f t="shared" si="11"/>
        <v>0.48140526005480877</v>
      </c>
      <c r="AH21" s="33">
        <f t="shared" si="12"/>
        <v>-999</v>
      </c>
      <c r="AI21" s="34">
        <f t="shared" si="13"/>
        <v>0.4806875830251112</v>
      </c>
      <c r="AJ21" s="4">
        <v>17.765987247785823</v>
      </c>
      <c r="AK21" s="32">
        <f t="shared" si="14"/>
        <v>-999</v>
      </c>
      <c r="AL21" s="34">
        <f t="shared" si="15"/>
        <v>-999</v>
      </c>
      <c r="AY21" s="103" t="s">
        <v>123</v>
      </c>
      <c r="AZ21" s="103" t="s">
        <v>396</v>
      </c>
      <c r="BA21" s="103" t="s">
        <v>321</v>
      </c>
      <c r="BB21" s="10">
        <v>345701</v>
      </c>
      <c r="BE21" s="70"/>
      <c r="BF21" s="241"/>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18</v>
      </c>
      <c r="E22" s="38">
        <f>IF(LEFT(VLOOKUP($B22,'Indicator chart'!$D$1:$J$36,5,FALSE),1)=" "," ",VLOOKUP($B22,'Indicator chart'!$D$1:$J$36,5,FALSE))</f>
        <v>400.80160320641284</v>
      </c>
      <c r="F22" s="38">
        <f>IF(LEFT(VLOOKUP($B22,'Indicator chart'!$D$1:$J$36,6,FALSE),1)=" "," ",VLOOKUP($B22,'Indicator chart'!$D$1:$J$36,6,FALSE))</f>
        <v>237.41676659275652</v>
      </c>
      <c r="G22" s="38">
        <f>IF(LEFT(VLOOKUP($B22,'Indicator chart'!$D$1:$J$36,7,FALSE),1)=" "," ",VLOOKUP($B22,'Indicator chart'!$D$1:$J$36,7,FALSE))</f>
        <v>633.4768510518711</v>
      </c>
      <c r="H22" s="50">
        <f t="shared" si="0"/>
        <v>2</v>
      </c>
      <c r="I22" s="38">
        <v>18.07059669494629</v>
      </c>
      <c r="J22" s="38">
        <v>218.19883728027344</v>
      </c>
      <c r="K22" s="38">
        <v>311.69598388671875</v>
      </c>
      <c r="L22" s="38">
        <v>398.68133544921875</v>
      </c>
      <c r="M22" s="38">
        <v>652.7651977539062</v>
      </c>
      <c r="N22" s="80">
        <f>VLOOKUP('Hide - Control'!B$3,'All practice data'!A:CA,A22+29,FALSE)</f>
        <v>312.3737713747139</v>
      </c>
      <c r="O22" s="80">
        <f>VLOOKUP('Hide - Control'!C$3,'All practice data'!A:CA,A22+29,FALSE)</f>
        <v>282.45290788403287</v>
      </c>
      <c r="P22" s="38">
        <f>VLOOKUP('Hide - Control'!$B$4,'All practice data'!B:BC,A22+2,FALSE)</f>
        <v>812</v>
      </c>
      <c r="Q22" s="38">
        <f>VLOOKUP('Hide - Control'!$B$4,'All practice data'!B:BC,3,FALSE)</f>
        <v>259945</v>
      </c>
      <c r="R22" s="38">
        <f t="shared" si="21"/>
        <v>291.2543672772431</v>
      </c>
      <c r="S22" s="38">
        <f t="shared" si="22"/>
        <v>334.6197695552487</v>
      </c>
      <c r="T22" s="53">
        <f t="shared" si="19"/>
        <v>652.7651977539062</v>
      </c>
      <c r="U22" s="51">
        <f t="shared" si="20"/>
        <v>18.07059669494629</v>
      </c>
      <c r="V22" s="7"/>
      <c r="W22" s="27">
        <f t="shared" si="2"/>
        <v>-29.37322998046875</v>
      </c>
      <c r="X22" s="27">
        <f t="shared" si="3"/>
        <v>652.7651977539062</v>
      </c>
      <c r="Y22" s="27">
        <f t="shared" si="4"/>
        <v>-29.37322998046875</v>
      </c>
      <c r="Z22" s="27">
        <f t="shared" si="5"/>
        <v>652.7651977539062</v>
      </c>
      <c r="AA22" s="32">
        <f t="shared" si="6"/>
        <v>0.06955161114877065</v>
      </c>
      <c r="AB22" s="33">
        <f t="shared" si="7"/>
        <v>0.3629352301453201</v>
      </c>
      <c r="AC22" s="33">
        <v>0.5</v>
      </c>
      <c r="AD22" s="33">
        <f t="shared" si="8"/>
        <v>0.6275186208925502</v>
      </c>
      <c r="AE22" s="33">
        <f t="shared" si="9"/>
        <v>1</v>
      </c>
      <c r="AF22" s="33">
        <f t="shared" si="10"/>
        <v>-999</v>
      </c>
      <c r="AG22" s="33">
        <f t="shared" si="11"/>
        <v>0.6306268870024603</v>
      </c>
      <c r="AH22" s="33">
        <f t="shared" si="12"/>
        <v>-999</v>
      </c>
      <c r="AI22" s="34">
        <f t="shared" si="13"/>
        <v>0.45713029084168066</v>
      </c>
      <c r="AJ22" s="4">
        <v>18.841982673167745</v>
      </c>
      <c r="AK22" s="32">
        <f t="shared" si="14"/>
        <v>-999</v>
      </c>
      <c r="AL22" s="34">
        <f t="shared" si="15"/>
        <v>-999</v>
      </c>
      <c r="AY22" s="103" t="s">
        <v>149</v>
      </c>
      <c r="AZ22" s="103" t="s">
        <v>406</v>
      </c>
      <c r="BA22" s="103" t="s">
        <v>321</v>
      </c>
      <c r="BB22" s="10">
        <v>295570</v>
      </c>
      <c r="BE22" s="70"/>
      <c r="BF22" s="239"/>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8">
        <v>3.248678207397461</v>
      </c>
      <c r="J23" s="38">
        <v>54.0485725402832</v>
      </c>
      <c r="K23" s="38">
        <v>91.3834228515625</v>
      </c>
      <c r="L23" s="38">
        <v>133.34715270996094</v>
      </c>
      <c r="M23" s="38">
        <v>240.15370178222656</v>
      </c>
      <c r="N23" s="80">
        <f>VLOOKUP('Hide - Control'!B$3,'All practice data'!A:CA,A23+29,FALSE)</f>
        <v>97.32828098251554</v>
      </c>
      <c r="O23" s="80">
        <f>VLOOKUP('Hide - Control'!C$3,'All practice data'!A:CA,A23+29,FALSE)</f>
        <v>70.46674929228394</v>
      </c>
      <c r="P23" s="38">
        <f>VLOOKUP('Hide - Control'!$B$4,'All practice data'!B:BC,A23+2,FALSE)</f>
        <v>253</v>
      </c>
      <c r="Q23" s="38">
        <f>VLOOKUP('Hide - Control'!$B$4,'All practice data'!B:BC,3,FALSE)</f>
        <v>259945</v>
      </c>
      <c r="R23" s="38">
        <f t="shared" si="21"/>
        <v>85.70309877730034</v>
      </c>
      <c r="S23" s="38">
        <f t="shared" si="22"/>
        <v>110.09029609794389</v>
      </c>
      <c r="T23" s="53">
        <f t="shared" si="19"/>
        <v>240.15370178222656</v>
      </c>
      <c r="U23" s="51">
        <f t="shared" si="20"/>
        <v>3.248678207397461</v>
      </c>
      <c r="V23" s="7"/>
      <c r="W23" s="27">
        <f t="shared" si="2"/>
        <v>-57.38685607910156</v>
      </c>
      <c r="X23" s="27">
        <f t="shared" si="3"/>
        <v>240.15370178222656</v>
      </c>
      <c r="Y23" s="27">
        <f t="shared" si="4"/>
        <v>-57.38685607910156</v>
      </c>
      <c r="Z23" s="27">
        <f t="shared" si="5"/>
        <v>240.15370178222656</v>
      </c>
      <c r="AA23" s="32">
        <f t="shared" si="6"/>
        <v>0.20378913961288883</v>
      </c>
      <c r="AB23" s="33">
        <f t="shared" si="7"/>
        <v>0.3745218111452235</v>
      </c>
      <c r="AC23" s="33">
        <v>0.5</v>
      </c>
      <c r="AD23" s="33">
        <f t="shared" si="8"/>
        <v>0.6410353269484561</v>
      </c>
      <c r="AE23" s="33">
        <f t="shared" si="9"/>
        <v>1</v>
      </c>
      <c r="AF23" s="33">
        <f t="shared" si="10"/>
        <v>-999</v>
      </c>
      <c r="AG23" s="33">
        <f t="shared" si="11"/>
        <v>-999</v>
      </c>
      <c r="AH23" s="33">
        <f t="shared" si="12"/>
        <v>-999</v>
      </c>
      <c r="AI23" s="34">
        <f t="shared" si="13"/>
        <v>0.4297014373111884</v>
      </c>
      <c r="AJ23" s="4">
        <v>19.917978098549675</v>
      </c>
      <c r="AK23" s="32">
        <f t="shared" si="14"/>
        <v>-999</v>
      </c>
      <c r="AL23" s="34">
        <f t="shared" si="15"/>
        <v>-999</v>
      </c>
      <c r="AY23" s="103" t="s">
        <v>264</v>
      </c>
      <c r="AZ23" s="103" t="s">
        <v>265</v>
      </c>
      <c r="BA23" s="103" t="s">
        <v>321</v>
      </c>
      <c r="BB23" s="10">
        <v>465441</v>
      </c>
      <c r="BE23" s="70"/>
      <c r="BF23" s="239"/>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10</v>
      </c>
      <c r="E24" s="38">
        <f>IF(LEFT(VLOOKUP($B24,'Indicator chart'!$D$1:$J$36,5,FALSE),1)=" "," ",VLOOKUP($B24,'Indicator chart'!$D$1:$J$36,5,FALSE))</f>
        <v>222.667557336896</v>
      </c>
      <c r="F24" s="38">
        <f>IF(LEFT(VLOOKUP($B24,'Indicator chart'!$D$1:$J$36,6,FALSE),1)=" "," ",VLOOKUP($B24,'Indicator chart'!$D$1:$J$36,6,FALSE))</f>
        <v>106.59942586358498</v>
      </c>
      <c r="G24" s="38">
        <f>IF(LEFT(VLOOKUP($B24,'Indicator chart'!$D$1:$J$36,7,FALSE),1)=" "," ",VLOOKUP($B24,'Indicator chart'!$D$1:$J$36,7,FALSE))</f>
        <v>409.52186314964416</v>
      </c>
      <c r="H24" s="50">
        <f t="shared" si="0"/>
        <v>2</v>
      </c>
      <c r="I24" s="38">
        <v>105.31858825683594</v>
      </c>
      <c r="J24" s="38">
        <v>284.2507629394531</v>
      </c>
      <c r="K24" s="38">
        <v>371.21099853515625</v>
      </c>
      <c r="L24" s="38">
        <v>457.0586242675781</v>
      </c>
      <c r="M24" s="38">
        <v>960.6148071289062</v>
      </c>
      <c r="N24" s="80">
        <f>VLOOKUP('Hide - Control'!B$3,'All practice data'!A:CA,A24+29,FALSE)</f>
        <v>382.77327896285755</v>
      </c>
      <c r="O24" s="80">
        <f>VLOOKUP('Hide - Control'!C$3,'All practice data'!A:CA,A24+29,FALSE)</f>
        <v>323.23046266988894</v>
      </c>
      <c r="P24" s="38">
        <f>VLOOKUP('Hide - Control'!$B$4,'All practice data'!B:BC,A24+2,FALSE)</f>
        <v>995</v>
      </c>
      <c r="Q24" s="38">
        <f>VLOOKUP('Hide - Control'!$B$4,'All practice data'!B:BC,3,FALSE)</f>
        <v>259945</v>
      </c>
      <c r="R24" s="38">
        <f t="shared" si="21"/>
        <v>359.3554653129193</v>
      </c>
      <c r="S24" s="38">
        <f t="shared" si="22"/>
        <v>407.3164273321957</v>
      </c>
      <c r="T24" s="53">
        <f t="shared" si="19"/>
        <v>960.6148071289062</v>
      </c>
      <c r="U24" s="51">
        <f t="shared" si="20"/>
        <v>105.31858825683594</v>
      </c>
      <c r="V24" s="7"/>
      <c r="W24" s="27">
        <f t="shared" si="2"/>
        <v>-218.19281005859375</v>
      </c>
      <c r="X24" s="27">
        <f t="shared" si="3"/>
        <v>960.6148071289062</v>
      </c>
      <c r="Y24" s="27">
        <f t="shared" si="4"/>
        <v>-218.19281005859375</v>
      </c>
      <c r="Z24" s="27">
        <f t="shared" si="5"/>
        <v>960.6148071289062</v>
      </c>
      <c r="AA24" s="32">
        <f t="shared" si="6"/>
        <v>0.27443952142699146</v>
      </c>
      <c r="AB24" s="33">
        <f t="shared" si="7"/>
        <v>0.4262303412976069</v>
      </c>
      <c r="AC24" s="33">
        <v>0.5</v>
      </c>
      <c r="AD24" s="33">
        <f t="shared" si="8"/>
        <v>0.5728258152396779</v>
      </c>
      <c r="AE24" s="33">
        <f t="shared" si="9"/>
        <v>1</v>
      </c>
      <c r="AF24" s="33">
        <f t="shared" si="10"/>
        <v>-999</v>
      </c>
      <c r="AG24" s="33">
        <f t="shared" si="11"/>
        <v>0.37398839383760696</v>
      </c>
      <c r="AH24" s="33">
        <f t="shared" si="12"/>
        <v>-999</v>
      </c>
      <c r="AI24" s="34">
        <f t="shared" si="13"/>
        <v>0.4592973991975524</v>
      </c>
      <c r="AJ24" s="4">
        <v>20.99397352393159</v>
      </c>
      <c r="AK24" s="32">
        <f t="shared" si="14"/>
        <v>-999</v>
      </c>
      <c r="AL24" s="34">
        <f t="shared" si="15"/>
        <v>-999</v>
      </c>
      <c r="AY24" s="103" t="s">
        <v>65</v>
      </c>
      <c r="AZ24" s="103" t="s">
        <v>66</v>
      </c>
      <c r="BA24" s="103" t="s">
        <v>502</v>
      </c>
      <c r="BB24" s="10">
        <v>320318</v>
      </c>
      <c r="BE24" s="248"/>
      <c r="BF24" s="241"/>
    </row>
    <row r="25" spans="1:58" ht="12.75">
      <c r="A25" s="21">
        <v>20</v>
      </c>
      <c r="B25" s="74" t="str">
        <f>'Indicator chart'!D31</f>
        <v>In-patient or day-case colonoscopy procedures (Number per 100,000 population)</v>
      </c>
      <c r="C25" s="21">
        <v>1</v>
      </c>
      <c r="D25" s="46">
        <f>IF(LEFT(VLOOKUP($B25,'Indicator chart'!$D$1:$J$36,4,FALSE),1)=" "," ",VLOOKUP($B25,'Indicator chart'!$D$1:$J$36,4,FALSE))</f>
        <v>18</v>
      </c>
      <c r="E25" s="38">
        <f>IF(LEFT(VLOOKUP($B25,'Indicator chart'!$D$1:$J$36,5,FALSE),1)=" "," ",VLOOKUP($B25,'Indicator chart'!$D$1:$J$36,5,FALSE))</f>
        <v>400.80160320641284</v>
      </c>
      <c r="F25" s="38">
        <f>IF(LEFT(VLOOKUP($B25,'Indicator chart'!$D$1:$J$36,6,FALSE),1)=" "," ",VLOOKUP($B25,'Indicator chart'!$D$1:$J$36,6,FALSE))</f>
        <v>237.41676659275652</v>
      </c>
      <c r="G25" s="38">
        <f>IF(LEFT(VLOOKUP($B25,'Indicator chart'!$D$1:$J$36,7,FALSE),1)=" "," ",VLOOKUP($B25,'Indicator chart'!$D$1:$J$36,7,FALSE))</f>
        <v>633.4768510518711</v>
      </c>
      <c r="H25" s="50">
        <f t="shared" si="0"/>
        <v>2</v>
      </c>
      <c r="I25" s="38">
        <v>258.06451416015625</v>
      </c>
      <c r="J25" s="38">
        <v>359.5848083496094</v>
      </c>
      <c r="K25" s="38">
        <v>416.6798095703125</v>
      </c>
      <c r="L25" s="38">
        <v>477.26416015625</v>
      </c>
      <c r="M25" s="38">
        <v>962.7894897460938</v>
      </c>
      <c r="N25" s="80">
        <f>VLOOKUP('Hide - Control'!B$3,'All practice data'!A:CA,A25+29,FALSE)</f>
        <v>444.32476100713615</v>
      </c>
      <c r="O25" s="80">
        <f>VLOOKUP('Hide - Control'!C$3,'All practice data'!A:CA,A25+29,FALSE)</f>
        <v>562.6134400960308</v>
      </c>
      <c r="P25" s="38">
        <f>VLOOKUP('Hide - Control'!$B$4,'All practice data'!B:BC,A25+2,FALSE)</f>
        <v>1155</v>
      </c>
      <c r="Q25" s="38">
        <f>VLOOKUP('Hide - Control'!$B$4,'All practice data'!B:BC,3,FALSE)</f>
        <v>259945</v>
      </c>
      <c r="R25" s="38">
        <f t="shared" si="21"/>
        <v>419.06578251955983</v>
      </c>
      <c r="S25" s="38">
        <f t="shared" si="22"/>
        <v>470.708227211192</v>
      </c>
      <c r="T25" s="53">
        <f t="shared" si="19"/>
        <v>962.7894897460938</v>
      </c>
      <c r="U25" s="51">
        <f t="shared" si="20"/>
        <v>258.06451416015625</v>
      </c>
      <c r="V25" s="7"/>
      <c r="W25" s="27">
        <f t="shared" si="2"/>
        <v>-129.42987060546875</v>
      </c>
      <c r="X25" s="27">
        <f t="shared" si="3"/>
        <v>962.7894897460938</v>
      </c>
      <c r="Y25" s="27">
        <f t="shared" si="4"/>
        <v>-129.42987060546875</v>
      </c>
      <c r="Z25" s="27">
        <f t="shared" si="5"/>
        <v>962.7894897460938</v>
      </c>
      <c r="AA25" s="32">
        <f t="shared" si="6"/>
        <v>0.3547770702772552</v>
      </c>
      <c r="AB25" s="33">
        <f t="shared" si="7"/>
        <v>0.4477257011793625</v>
      </c>
      <c r="AC25" s="33">
        <v>0.5</v>
      </c>
      <c r="AD25" s="33">
        <f t="shared" si="8"/>
        <v>0.5554690319410166</v>
      </c>
      <c r="AE25" s="33">
        <f t="shared" si="9"/>
        <v>1</v>
      </c>
      <c r="AF25" s="33">
        <f t="shared" si="10"/>
        <v>-999</v>
      </c>
      <c r="AG25" s="33">
        <f t="shared" si="11"/>
        <v>0.4854624382790754</v>
      </c>
      <c r="AH25" s="33">
        <f t="shared" si="12"/>
        <v>-999</v>
      </c>
      <c r="AI25" s="34">
        <f t="shared" si="13"/>
        <v>0.6336120158854768</v>
      </c>
      <c r="AJ25" s="4">
        <v>22.06996894931352</v>
      </c>
      <c r="AK25" s="32">
        <f t="shared" si="14"/>
        <v>-999</v>
      </c>
      <c r="AL25" s="34">
        <f t="shared" si="15"/>
        <v>-999</v>
      </c>
      <c r="AY25" s="103" t="s">
        <v>257</v>
      </c>
      <c r="AZ25" s="103" t="s">
        <v>258</v>
      </c>
      <c r="BA25" s="103" t="s">
        <v>502</v>
      </c>
      <c r="BB25" s="10">
        <v>524851</v>
      </c>
      <c r="BE25" s="248"/>
      <c r="BF25" s="239"/>
    </row>
    <row r="26" spans="1:58" ht="12.75">
      <c r="A26" s="21">
        <v>21</v>
      </c>
      <c r="B26" s="74" t="str">
        <f>'Indicator chart'!D32</f>
        <v>In-patient or day-case sigmoidoscopy procedures (Number per 100,000 population)</v>
      </c>
      <c r="C26" s="21">
        <v>1</v>
      </c>
      <c r="D26" s="46">
        <f>IF(LEFT(VLOOKUP($B26,'Indicator chart'!$D$1:$J$36,4,FALSE),1)=" "," ",VLOOKUP($B26,'Indicator chart'!$D$1:$J$36,4,FALSE))</f>
        <v>39</v>
      </c>
      <c r="E26" s="38">
        <f>IF(LEFT(VLOOKUP($B26,'Indicator chart'!$D$1:$J$36,5,FALSE),1)=" "," ",VLOOKUP($B26,'Indicator chart'!$D$1:$J$36,5,FALSE))</f>
        <v>868.4034736138944</v>
      </c>
      <c r="F26" s="38">
        <f>IF(LEFT(VLOOKUP($B26,'Indicator chart'!$D$1:$J$36,6,FALSE),1)=" "," ",VLOOKUP($B26,'Indicator chart'!$D$1:$J$36,6,FALSE))</f>
        <v>617.4414293089652</v>
      </c>
      <c r="G26" s="38">
        <f>IF(LEFT(VLOOKUP($B26,'Indicator chart'!$D$1:$J$36,7,FALSE),1)=" "," ",VLOOKUP($B26,'Indicator chart'!$D$1:$J$36,7,FALSE))</f>
        <v>1187.1747543159252</v>
      </c>
      <c r="H26" s="50">
        <f t="shared" si="0"/>
        <v>2</v>
      </c>
      <c r="I26" s="38">
        <v>306.96575927734375</v>
      </c>
      <c r="J26" s="38">
        <v>578.6441040039062</v>
      </c>
      <c r="K26" s="38">
        <v>740.6675415039062</v>
      </c>
      <c r="L26" s="38">
        <v>898.2922973632812</v>
      </c>
      <c r="M26" s="38">
        <v>1404.00146484375</v>
      </c>
      <c r="N26" s="80">
        <f>VLOOKUP('Hide - Control'!B$3,'All practice data'!A:CA,A26+29,FALSE)</f>
        <v>705.9185596953201</v>
      </c>
      <c r="O26" s="80">
        <f>VLOOKUP('Hide - Control'!C$3,'All practice data'!A:CA,A26+29,FALSE)</f>
        <v>405.57105879375996</v>
      </c>
      <c r="P26" s="38">
        <f>VLOOKUP('Hide - Control'!$B$4,'All practice data'!B:BC,A26+2,FALSE)</f>
        <v>1835</v>
      </c>
      <c r="Q26" s="38">
        <f>VLOOKUP('Hide - Control'!$B$4,'All practice data'!B:BC,3,FALSE)</f>
        <v>259945</v>
      </c>
      <c r="R26" s="38">
        <f t="shared" si="21"/>
        <v>673.9850645555256</v>
      </c>
      <c r="S26" s="38">
        <f t="shared" si="22"/>
        <v>738.9742771033117</v>
      </c>
      <c r="T26" s="53">
        <f t="shared" si="19"/>
        <v>1404.00146484375</v>
      </c>
      <c r="U26" s="51">
        <f t="shared" si="20"/>
        <v>306.96575927734375</v>
      </c>
      <c r="V26" s="7"/>
      <c r="W26" s="27">
        <f t="shared" si="2"/>
        <v>77.3336181640625</v>
      </c>
      <c r="X26" s="27">
        <f t="shared" si="3"/>
        <v>1404.00146484375</v>
      </c>
      <c r="Y26" s="27">
        <f t="shared" si="4"/>
        <v>77.3336181640625</v>
      </c>
      <c r="Z26" s="27">
        <f t="shared" si="5"/>
        <v>1404.00146484375</v>
      </c>
      <c r="AA26" s="32">
        <f t="shared" si="6"/>
        <v>0.17308939964738887</v>
      </c>
      <c r="AB26" s="33">
        <f t="shared" si="7"/>
        <v>0.37787188940660354</v>
      </c>
      <c r="AC26" s="33">
        <v>0.5</v>
      </c>
      <c r="AD26" s="33">
        <f t="shared" si="8"/>
        <v>0.6188125243661174</v>
      </c>
      <c r="AE26" s="33">
        <f t="shared" si="9"/>
        <v>1</v>
      </c>
      <c r="AF26" s="33">
        <f t="shared" si="10"/>
        <v>-999</v>
      </c>
      <c r="AG26" s="33">
        <f t="shared" si="11"/>
        <v>0.5962832802722089</v>
      </c>
      <c r="AH26" s="33">
        <f t="shared" si="12"/>
        <v>-999</v>
      </c>
      <c r="AI26" s="34">
        <f t="shared" si="13"/>
        <v>0.24741493618858132</v>
      </c>
      <c r="AJ26" s="4">
        <v>23.145964374695435</v>
      </c>
      <c r="AK26" s="32">
        <f t="shared" si="14"/>
        <v>-999</v>
      </c>
      <c r="AL26" s="34">
        <f t="shared" si="15"/>
        <v>-999</v>
      </c>
      <c r="AY26" s="103" t="s">
        <v>120</v>
      </c>
      <c r="AZ26" s="103" t="s">
        <v>395</v>
      </c>
      <c r="BA26" s="103" t="s">
        <v>321</v>
      </c>
      <c r="BB26" s="10">
        <v>193393</v>
      </c>
      <c r="BE26" s="70"/>
      <c r="BF26" s="239"/>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46</v>
      </c>
      <c r="E27" s="38">
        <f>IF(LEFT(VLOOKUP($B27,'Indicator chart'!$D$1:$J$36,5,FALSE),1)=" "," ",VLOOKUP($B27,'Indicator chart'!$D$1:$J$36,5,FALSE))</f>
        <v>1024.2707637497217</v>
      </c>
      <c r="F27" s="38">
        <f>IF(LEFT(VLOOKUP($B27,'Indicator chart'!$D$1:$J$36,6,FALSE),1)=" "," ",VLOOKUP($B27,'Indicator chart'!$D$1:$J$36,6,FALSE))</f>
        <v>749.8233996067024</v>
      </c>
      <c r="G27" s="38">
        <f>IF(LEFT(VLOOKUP($B27,'Indicator chart'!$D$1:$J$36,7,FALSE),1)=" "," ",VLOOKUP($B27,'Indicator chart'!$D$1:$J$36,7,FALSE))</f>
        <v>1366.2717337092026</v>
      </c>
      <c r="H27" s="50">
        <f t="shared" si="0"/>
        <v>2</v>
      </c>
      <c r="I27" s="38">
        <v>637.5442504882812</v>
      </c>
      <c r="J27" s="38">
        <v>1096.278564453125</v>
      </c>
      <c r="K27" s="38">
        <v>1279.486572265625</v>
      </c>
      <c r="L27" s="38">
        <v>1533.1875</v>
      </c>
      <c r="M27" s="38">
        <v>2219.202880859375</v>
      </c>
      <c r="N27" s="80">
        <f>VLOOKUP('Hide - Control'!B$3,'All practice data'!A:CA,A27+29,FALSE)</f>
        <v>1321.433380138106</v>
      </c>
      <c r="O27" s="80">
        <f>VLOOKUP('Hide - Control'!C$3,'All practice data'!A:CA,A27+29,FALSE)</f>
        <v>1059.3522061277838</v>
      </c>
      <c r="P27" s="38">
        <f>VLOOKUP('Hide - Control'!$B$4,'All practice data'!B:BC,A27+2,FALSE)</f>
        <v>3435</v>
      </c>
      <c r="Q27" s="38">
        <f>VLOOKUP('Hide - Control'!$B$4,'All practice data'!B:BC,3,FALSE)</f>
        <v>259945</v>
      </c>
      <c r="R27" s="38">
        <f t="shared" si="21"/>
        <v>1277.6073598057696</v>
      </c>
      <c r="S27" s="38">
        <f t="shared" si="22"/>
        <v>1366.3792754135438</v>
      </c>
      <c r="T27" s="53">
        <f t="shared" si="19"/>
        <v>2219.202880859375</v>
      </c>
      <c r="U27" s="51">
        <f t="shared" si="20"/>
        <v>637.5442504882812</v>
      </c>
      <c r="V27" s="7"/>
      <c r="W27" s="27">
        <f t="shared" si="2"/>
        <v>339.770263671875</v>
      </c>
      <c r="X27" s="27">
        <f t="shared" si="3"/>
        <v>2219.202880859375</v>
      </c>
      <c r="Y27" s="27">
        <f t="shared" si="4"/>
        <v>339.770263671875</v>
      </c>
      <c r="Z27" s="27">
        <f t="shared" si="5"/>
        <v>2219.202880859375</v>
      </c>
      <c r="AA27" s="32">
        <f t="shared" si="6"/>
        <v>0.15843823507863442</v>
      </c>
      <c r="AB27" s="33">
        <f t="shared" si="7"/>
        <v>0.40251951246506307</v>
      </c>
      <c r="AC27" s="33">
        <v>0.5</v>
      </c>
      <c r="AD27" s="33">
        <f t="shared" si="8"/>
        <v>0.6349880412919665</v>
      </c>
      <c r="AE27" s="33">
        <f t="shared" si="9"/>
        <v>1</v>
      </c>
      <c r="AF27" s="33">
        <f t="shared" si="10"/>
        <v>-999</v>
      </c>
      <c r="AG27" s="33">
        <f t="shared" si="11"/>
        <v>0.36420592779866506</v>
      </c>
      <c r="AH27" s="33">
        <f t="shared" si="12"/>
        <v>-999</v>
      </c>
      <c r="AI27" s="34">
        <f t="shared" si="13"/>
        <v>0.3828719028686094</v>
      </c>
      <c r="AJ27" s="4">
        <v>24.221959800077364</v>
      </c>
      <c r="AK27" s="32">
        <f t="shared" si="14"/>
        <v>-999</v>
      </c>
      <c r="AL27" s="34">
        <f t="shared" si="15"/>
        <v>-999</v>
      </c>
      <c r="AY27" s="103" t="s">
        <v>115</v>
      </c>
      <c r="AZ27" s="103" t="s">
        <v>394</v>
      </c>
      <c r="BA27" s="103" t="s">
        <v>502</v>
      </c>
      <c r="BB27" s="10">
        <v>208863</v>
      </c>
      <c r="BE27" s="70"/>
      <c r="BF27" s="239"/>
    </row>
    <row r="28" spans="1:58" ht="12.75">
      <c r="A28" s="21">
        <v>23</v>
      </c>
      <c r="B28" s="74" t="str">
        <f>'Indicator chart'!D34</f>
        <v>Number of emergency admissions with cancer (Number per 100,000 population)</v>
      </c>
      <c r="C28" s="21">
        <v>1</v>
      </c>
      <c r="D28" s="46">
        <f>IF(LEFT(VLOOKUP($B28,'Indicator chart'!$D$1:$J$36,4,FALSE),1)=" "," ",VLOOKUP($B28,'Indicator chart'!$D$1:$J$36,4,FALSE))</f>
        <v>30</v>
      </c>
      <c r="E28" s="38">
        <f>IF(LEFT(VLOOKUP($B28,'Indicator chart'!$D$1:$J$36,5,FALSE),1)=" "," ",VLOOKUP($B28,'Indicator chart'!$D$1:$J$36,5,FALSE))</f>
        <v>668.002672010688</v>
      </c>
      <c r="F28" s="38">
        <f>IF(LEFT(VLOOKUP($B28,'Indicator chart'!$D$1:$J$36,6,FALSE),1)=" "," ",VLOOKUP($B28,'Indicator chart'!$D$1:$J$36,6,FALSE))</f>
        <v>450.60760110876913</v>
      </c>
      <c r="G28" s="38">
        <f>IF(LEFT(VLOOKUP($B28,'Indicator chart'!$D$1:$J$36,7,FALSE),1)=" "," ",VLOOKUP($B28,'Indicator chart'!$D$1:$J$36,7,FALSE))</f>
        <v>953.6544351998832</v>
      </c>
      <c r="H28" s="50">
        <f t="shared" si="0"/>
        <v>2</v>
      </c>
      <c r="I28" s="38">
        <v>141.67649841308594</v>
      </c>
      <c r="J28" s="38">
        <v>492.4405212402344</v>
      </c>
      <c r="K28" s="38">
        <v>631.5848388671875</v>
      </c>
      <c r="L28" s="38">
        <v>826.7532958984375</v>
      </c>
      <c r="M28" s="38">
        <v>1008.4840698242188</v>
      </c>
      <c r="N28" s="80">
        <f>VLOOKUP('Hide - Control'!B$3,'All practice data'!A:CA,A28+29,FALSE)</f>
        <v>645.5211679393718</v>
      </c>
      <c r="O28" s="80">
        <f>VLOOKUP('Hide - Control'!C$3,'All practice data'!A:CA,A28+29,FALSE)</f>
        <v>582.9390489900089</v>
      </c>
      <c r="P28" s="38">
        <f>VLOOKUP('Hide - Control'!$B$4,'All practice data'!B:BC,A28+2,FALSE)</f>
        <v>1678</v>
      </c>
      <c r="Q28" s="38">
        <f>VLOOKUP('Hide - Control'!$B$4,'All practice data'!B:BC,3,FALSE)</f>
        <v>259945</v>
      </c>
      <c r="R28" s="38">
        <f>100000*(P28*(1-1/(9*P28)-1.96/(3*SQRT(P28)))^3)/Q28</f>
        <v>615.0003659382269</v>
      </c>
      <c r="S28" s="38">
        <f>100000*((P28+1)*(1-1/(9*(P28+1))+1.96/(3*SQRT(P28+1)))^3)/Q28</f>
        <v>677.1645904825825</v>
      </c>
      <c r="T28" s="53">
        <f t="shared" si="19"/>
        <v>1008.4840698242188</v>
      </c>
      <c r="U28" s="51">
        <f t="shared" si="20"/>
        <v>141.67649841308594</v>
      </c>
      <c r="V28" s="7"/>
      <c r="W28" s="27">
        <f t="shared" si="2"/>
        <v>141.67649841308594</v>
      </c>
      <c r="X28" s="27">
        <f t="shared" si="3"/>
        <v>1121.493179321289</v>
      </c>
      <c r="Y28" s="27">
        <f t="shared" si="4"/>
        <v>141.67649841308594</v>
      </c>
      <c r="Z28" s="27">
        <f t="shared" si="5"/>
        <v>1121.493179321289</v>
      </c>
      <c r="AA28" s="32">
        <f t="shared" si="6"/>
        <v>0</v>
      </c>
      <c r="AB28" s="33">
        <f t="shared" si="7"/>
        <v>0.35798943788344295</v>
      </c>
      <c r="AC28" s="33">
        <v>0.5</v>
      </c>
      <c r="AD28" s="33">
        <f t="shared" si="8"/>
        <v>0.6991887470729179</v>
      </c>
      <c r="AE28" s="33">
        <f t="shared" si="9"/>
        <v>0.8846630071736267</v>
      </c>
      <c r="AF28" s="33">
        <f t="shared" si="10"/>
        <v>-999</v>
      </c>
      <c r="AG28" s="33">
        <f t="shared" si="11"/>
        <v>0.5371680068864968</v>
      </c>
      <c r="AH28" s="33">
        <f t="shared" si="12"/>
        <v>-999</v>
      </c>
      <c r="AI28" s="34">
        <f t="shared" si="13"/>
        <v>0.4503521517595636</v>
      </c>
      <c r="AJ28" s="4">
        <v>25.297955225459287</v>
      </c>
      <c r="AK28" s="32">
        <f t="shared" si="14"/>
        <v>-999</v>
      </c>
      <c r="AL28" s="34">
        <f t="shared" si="15"/>
        <v>-999</v>
      </c>
      <c r="AY28" s="103" t="s">
        <v>241</v>
      </c>
      <c r="AZ28" s="103" t="s">
        <v>242</v>
      </c>
      <c r="BA28" s="103" t="s">
        <v>502</v>
      </c>
      <c r="BB28" s="10">
        <v>625132</v>
      </c>
      <c r="BF28" s="252"/>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8"/>
      <c r="J29" s="38"/>
      <c r="K29" s="38"/>
      <c r="L29" s="38"/>
      <c r="M29" s="38"/>
      <c r="N29" s="80"/>
      <c r="O29" s="80"/>
      <c r="P29" s="38"/>
      <c r="Q29" s="38"/>
      <c r="R29" s="38"/>
      <c r="S29" s="38"/>
      <c r="T29" s="53">
        <f t="shared" si="19"/>
        <v>0</v>
      </c>
      <c r="U29" s="51">
        <f t="shared" si="20"/>
        <v>0</v>
      </c>
      <c r="V29" s="7"/>
      <c r="W29" s="27">
        <f t="shared" si="2"/>
        <v>0</v>
      </c>
      <c r="X29" s="27">
        <f t="shared" si="3"/>
        <v>0</v>
      </c>
      <c r="Y29" s="27">
        <f t="shared" si="4"/>
        <v>0</v>
      </c>
      <c r="Z29" s="27">
        <f t="shared" si="5"/>
        <v>0</v>
      </c>
      <c r="AA29" s="32">
        <f t="shared" si="6"/>
      </c>
      <c r="AB29" s="33">
        <f t="shared" si="7"/>
      </c>
      <c r="AC29" s="33">
        <v>0.5</v>
      </c>
      <c r="AD29" s="33">
        <f t="shared" si="8"/>
      </c>
      <c r="AE29" s="33">
        <f t="shared" si="9"/>
      </c>
      <c r="AF29" s="33">
        <f t="shared" si="10"/>
        <v>-999</v>
      </c>
      <c r="AG29" s="33">
        <f t="shared" si="11"/>
        <v>-999</v>
      </c>
      <c r="AH29" s="33">
        <f t="shared" si="12"/>
        <v>-999</v>
      </c>
      <c r="AI29" s="34">
        <f t="shared" si="13"/>
        <v>-999</v>
      </c>
      <c r="AJ29" s="4">
        <v>26.373950650841206</v>
      </c>
      <c r="AK29" s="32">
        <f t="shared" si="14"/>
        <v>-999</v>
      </c>
      <c r="AL29" s="34">
        <f t="shared" si="15"/>
        <v>-999</v>
      </c>
      <c r="AY29" s="103" t="s">
        <v>126</v>
      </c>
      <c r="AZ29" s="103" t="s">
        <v>397</v>
      </c>
      <c r="BA29" s="103" t="s">
        <v>321</v>
      </c>
      <c r="BB29" s="10">
        <v>247126</v>
      </c>
      <c r="BE29" s="248"/>
      <c r="BF29" s="249"/>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8"/>
      <c r="J30" s="38"/>
      <c r="K30" s="38"/>
      <c r="L30" s="38"/>
      <c r="M30" s="38"/>
      <c r="N30" s="80"/>
      <c r="O30" s="80"/>
      <c r="P30" s="38"/>
      <c r="Q30" s="38"/>
      <c r="R30" s="38"/>
      <c r="S30" s="38"/>
      <c r="T30" s="53">
        <f t="shared" si="19"/>
        <v>0</v>
      </c>
      <c r="U30" s="51">
        <f t="shared" si="20"/>
        <v>0</v>
      </c>
      <c r="V30" s="7"/>
      <c r="W30" s="27">
        <f t="shared" si="2"/>
        <v>0</v>
      </c>
      <c r="X30" s="27">
        <f t="shared" si="3"/>
        <v>0</v>
      </c>
      <c r="Y30" s="27">
        <f t="shared" si="4"/>
        <v>0</v>
      </c>
      <c r="Z30" s="27">
        <f t="shared" si="5"/>
        <v>0</v>
      </c>
      <c r="AA30" s="32">
        <f t="shared" si="6"/>
      </c>
      <c r="AB30" s="33">
        <f t="shared" si="7"/>
      </c>
      <c r="AC30" s="33">
        <v>0.5</v>
      </c>
      <c r="AD30" s="33">
        <f t="shared" si="8"/>
      </c>
      <c r="AE30" s="33">
        <f t="shared" si="9"/>
      </c>
      <c r="AF30" s="33">
        <f t="shared" si="10"/>
        <v>-999</v>
      </c>
      <c r="AG30" s="33">
        <f t="shared" si="11"/>
        <v>-999</v>
      </c>
      <c r="AH30" s="33">
        <f t="shared" si="12"/>
        <v>-999</v>
      </c>
      <c r="AI30" s="34">
        <f t="shared" si="13"/>
        <v>-999</v>
      </c>
      <c r="AJ30" s="4">
        <v>27.44994607622313</v>
      </c>
      <c r="AK30" s="32">
        <f t="shared" si="14"/>
        <v>-999</v>
      </c>
      <c r="AL30" s="34">
        <f t="shared" si="15"/>
        <v>-999</v>
      </c>
      <c r="AY30" s="103" t="s">
        <v>198</v>
      </c>
      <c r="AZ30" s="103" t="s">
        <v>199</v>
      </c>
      <c r="BA30" s="103" t="s">
        <v>321</v>
      </c>
      <c r="BB30" s="10">
        <v>467697</v>
      </c>
      <c r="BE30" s="237"/>
      <c r="BF30" s="238"/>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8"/>
      <c r="J31" s="38"/>
      <c r="K31" s="38"/>
      <c r="L31" s="38"/>
      <c r="M31" s="38"/>
      <c r="N31" s="80"/>
      <c r="O31" s="80"/>
      <c r="P31" s="38"/>
      <c r="Q31" s="38"/>
      <c r="R31" s="38"/>
      <c r="S31" s="38"/>
      <c r="T31" s="53">
        <f t="shared" si="19"/>
        <v>0</v>
      </c>
      <c r="U31" s="51">
        <f t="shared" si="20"/>
        <v>0</v>
      </c>
      <c r="V31" s="7"/>
      <c r="W31" s="27">
        <f t="shared" si="2"/>
        <v>0</v>
      </c>
      <c r="X31" s="27">
        <f t="shared" si="3"/>
        <v>0</v>
      </c>
      <c r="Y31" s="27">
        <f t="shared" si="4"/>
        <v>0</v>
      </c>
      <c r="Z31" s="27">
        <f t="shared" si="5"/>
        <v>0</v>
      </c>
      <c r="AA31" s="32">
        <f t="shared" si="6"/>
      </c>
      <c r="AB31" s="33">
        <f t="shared" si="7"/>
      </c>
      <c r="AC31" s="33">
        <v>0.5</v>
      </c>
      <c r="AD31" s="33">
        <f t="shared" si="8"/>
      </c>
      <c r="AE31" s="33">
        <f t="shared" si="9"/>
      </c>
      <c r="AF31" s="33">
        <f>IF(E31=" ",-999,IF(H31=4,(E31-$Y31)/($Z31-$Y31),-999))</f>
        <v>-999</v>
      </c>
      <c r="AG31" s="33">
        <f t="shared" si="11"/>
        <v>-999</v>
      </c>
      <c r="AH31" s="33">
        <f t="shared" si="12"/>
        <v>-999</v>
      </c>
      <c r="AI31" s="34">
        <f t="shared" si="13"/>
        <v>-999</v>
      </c>
      <c r="AJ31" s="4">
        <v>28.525941501605054</v>
      </c>
      <c r="AK31" s="32">
        <f t="shared" si="14"/>
        <v>-999</v>
      </c>
      <c r="AL31" s="34">
        <f t="shared" si="15"/>
        <v>-999</v>
      </c>
      <c r="AY31" s="103" t="s">
        <v>187</v>
      </c>
      <c r="AZ31" s="103" t="s">
        <v>418</v>
      </c>
      <c r="BA31" s="103" t="s">
        <v>321</v>
      </c>
      <c r="BB31" s="10">
        <v>465975</v>
      </c>
      <c r="BE31" s="237"/>
      <c r="BF31" s="238"/>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74</v>
      </c>
      <c r="AZ32" s="103" t="s">
        <v>377</v>
      </c>
      <c r="BA32" s="103" t="s">
        <v>321</v>
      </c>
      <c r="BB32" s="10">
        <v>280095</v>
      </c>
      <c r="BE32" s="70"/>
      <c r="BF32" s="241"/>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271</v>
      </c>
      <c r="AZ33" s="103" t="s">
        <v>442</v>
      </c>
      <c r="BA33" s="103" t="s">
        <v>502</v>
      </c>
      <c r="BB33" s="10">
        <v>551723</v>
      </c>
      <c r="BF33" s="252"/>
    </row>
    <row r="34" spans="1:58" ht="12.75">
      <c r="A34" s="12"/>
      <c r="B34" s="12"/>
      <c r="D34" s="12"/>
      <c r="E34" s="12"/>
      <c r="F34" s="12"/>
      <c r="G34" s="12"/>
      <c r="H34" s="12"/>
      <c r="I34" s="12"/>
      <c r="J34" s="12"/>
      <c r="K34" s="12"/>
      <c r="L34" s="12"/>
      <c r="O34" s="12"/>
      <c r="P34" s="12"/>
      <c r="Q34" s="12"/>
      <c r="R34" s="12"/>
      <c r="S34" s="12"/>
      <c r="Z34" s="2"/>
      <c r="AI34" s="55"/>
      <c r="AK34" s="8"/>
      <c r="AL34" s="8"/>
      <c r="AY34" s="103" t="s">
        <v>183</v>
      </c>
      <c r="AZ34" s="103" t="s">
        <v>184</v>
      </c>
      <c r="BA34" s="103" t="s">
        <v>321</v>
      </c>
      <c r="BB34" s="10">
        <v>532801</v>
      </c>
      <c r="BE34" s="77"/>
      <c r="BF34" s="253"/>
    </row>
    <row r="35" spans="2:58" ht="12.75">
      <c r="B35" s="17" t="s">
        <v>41</v>
      </c>
      <c r="C35" s="18"/>
      <c r="H35" s="290" t="s">
        <v>552</v>
      </c>
      <c r="I35" s="291"/>
      <c r="Y35" s="43"/>
      <c r="Z35" s="44"/>
      <c r="AA35" s="44"/>
      <c r="AB35" s="43"/>
      <c r="AC35" s="43"/>
      <c r="AY35" s="103" t="s">
        <v>159</v>
      </c>
      <c r="AZ35" s="103" t="s">
        <v>410</v>
      </c>
      <c r="BA35" s="103" t="s">
        <v>321</v>
      </c>
      <c r="BB35" s="10">
        <v>356144</v>
      </c>
      <c r="BE35" s="70"/>
      <c r="BF35" s="241"/>
    </row>
    <row r="36" spans="1:58" ht="12.75">
      <c r="A36" s="1"/>
      <c r="B36" s="15" t="s">
        <v>42</v>
      </c>
      <c r="C36" s="19">
        <v>1</v>
      </c>
      <c r="E36" s="12"/>
      <c r="F36" s="12"/>
      <c r="G36" s="12"/>
      <c r="H36" s="286">
        <v>1</v>
      </c>
      <c r="I36" s="287" t="s">
        <v>17</v>
      </c>
      <c r="J36" s="12"/>
      <c r="K36" s="12"/>
      <c r="L36" s="12"/>
      <c r="O36" s="12"/>
      <c r="P36" s="12"/>
      <c r="Q36" s="12"/>
      <c r="R36" s="12"/>
      <c r="S36" s="12"/>
      <c r="X36" s="12"/>
      <c r="Y36" s="45"/>
      <c r="Z36" s="44"/>
      <c r="AA36" s="44"/>
      <c r="AB36" s="45"/>
      <c r="AC36" s="45"/>
      <c r="AD36" s="12"/>
      <c r="AE36" s="12"/>
      <c r="AF36" s="12"/>
      <c r="AY36" s="103" t="s">
        <v>128</v>
      </c>
      <c r="AZ36" s="103" t="s">
        <v>399</v>
      </c>
      <c r="BA36" s="103" t="s">
        <v>321</v>
      </c>
      <c r="BB36" s="10">
        <v>381450</v>
      </c>
      <c r="BE36" s="70"/>
      <c r="BF36" s="239"/>
    </row>
    <row r="37" spans="1:58" ht="12.75">
      <c r="A37" s="3"/>
      <c r="B37" s="16" t="s">
        <v>43</v>
      </c>
      <c r="C37" s="20">
        <v>2</v>
      </c>
      <c r="H37" s="286">
        <v>2</v>
      </c>
      <c r="I37" s="287" t="s">
        <v>18</v>
      </c>
      <c r="J37" s="10"/>
      <c r="K37" s="10"/>
      <c r="L37" s="10"/>
      <c r="M37" s="10"/>
      <c r="N37" s="10"/>
      <c r="Y37" s="43"/>
      <c r="Z37" s="44"/>
      <c r="AA37" s="44"/>
      <c r="AB37" s="43"/>
      <c r="AC37" s="43"/>
      <c r="AY37" s="103" t="s">
        <v>185</v>
      </c>
      <c r="AZ37" s="103" t="s">
        <v>416</v>
      </c>
      <c r="BA37" s="103" t="s">
        <v>321</v>
      </c>
      <c r="BB37" s="10">
        <v>504427</v>
      </c>
      <c r="BE37" s="70"/>
      <c r="BF37" s="249"/>
    </row>
    <row r="38" spans="1:58" ht="12.75">
      <c r="A38" s="3"/>
      <c r="B38" s="12"/>
      <c r="C38" s="3"/>
      <c r="H38" s="286">
        <v>3</v>
      </c>
      <c r="I38" s="287" t="s">
        <v>19</v>
      </c>
      <c r="T38" s="13"/>
      <c r="U38" s="2"/>
      <c r="W38" s="2"/>
      <c r="X38" s="10"/>
      <c r="Y38" s="44"/>
      <c r="Z38" s="44"/>
      <c r="AA38" s="44"/>
      <c r="AB38" s="44"/>
      <c r="AC38" s="44"/>
      <c r="AD38" s="2"/>
      <c r="AE38" s="2"/>
      <c r="AY38" s="103" t="s">
        <v>116</v>
      </c>
      <c r="AZ38" s="103" t="s">
        <v>117</v>
      </c>
      <c r="BA38" s="103" t="s">
        <v>321</v>
      </c>
      <c r="BB38" s="10">
        <v>105024</v>
      </c>
      <c r="BE38" s="70"/>
      <c r="BF38" s="249"/>
    </row>
    <row r="39" spans="1:58" ht="12.75">
      <c r="A39" s="3"/>
      <c r="B39" s="71"/>
      <c r="C39" s="3"/>
      <c r="H39" s="288">
        <v>4</v>
      </c>
      <c r="I39" s="289" t="s">
        <v>20</v>
      </c>
      <c r="T39" s="13"/>
      <c r="U39" s="2"/>
      <c r="W39" s="2"/>
      <c r="X39" s="10"/>
      <c r="Y39" s="44"/>
      <c r="Z39" s="44"/>
      <c r="AA39" s="44"/>
      <c r="AB39" s="44"/>
      <c r="AC39" s="44"/>
      <c r="AD39" s="2"/>
      <c r="AE39" s="2"/>
      <c r="AY39" s="103" t="s">
        <v>175</v>
      </c>
      <c r="AZ39" s="103" t="s">
        <v>176</v>
      </c>
      <c r="BA39" s="103" t="s">
        <v>321</v>
      </c>
      <c r="BB39" s="10">
        <v>295312</v>
      </c>
      <c r="BE39" s="70"/>
      <c r="BF39" s="241"/>
    </row>
    <row r="40" spans="1:58" ht="12.75">
      <c r="A40" s="3"/>
      <c r="B40" s="71"/>
      <c r="C40" s="3"/>
      <c r="T40" s="13"/>
      <c r="U40" s="2"/>
      <c r="W40" s="2"/>
      <c r="X40" s="10"/>
      <c r="Y40" s="44"/>
      <c r="Z40" s="44"/>
      <c r="AA40" s="44"/>
      <c r="AB40" s="44"/>
      <c r="AC40" s="44"/>
      <c r="AD40" s="2"/>
      <c r="AE40" s="2"/>
      <c r="AY40" s="103" t="s">
        <v>173</v>
      </c>
      <c r="AZ40" s="103" t="s">
        <v>174</v>
      </c>
      <c r="BA40" s="103" t="s">
        <v>321</v>
      </c>
      <c r="BB40" s="10">
        <v>714731</v>
      </c>
      <c r="BF40" s="252"/>
    </row>
    <row r="41" spans="1:58" ht="12.75">
      <c r="A41" s="3"/>
      <c r="B41" s="71"/>
      <c r="C41" s="3"/>
      <c r="T41" s="13"/>
      <c r="U41" s="2"/>
      <c r="W41" s="2"/>
      <c r="X41" s="10"/>
      <c r="Y41" s="44"/>
      <c r="Z41" s="44"/>
      <c r="AA41" s="44"/>
      <c r="AB41" s="44"/>
      <c r="AC41" s="44"/>
      <c r="AD41" s="2"/>
      <c r="AE41" s="2"/>
      <c r="AY41" s="103" t="s">
        <v>272</v>
      </c>
      <c r="AZ41" s="103" t="s">
        <v>443</v>
      </c>
      <c r="BA41" s="103" t="s">
        <v>502</v>
      </c>
      <c r="BB41" s="10">
        <v>746707</v>
      </c>
      <c r="BE41" s="70"/>
      <c r="BF41" s="241"/>
    </row>
    <row r="42" spans="1:58" ht="12.75">
      <c r="A42" s="3"/>
      <c r="B42" s="45"/>
      <c r="C42" s="3"/>
      <c r="T42" s="13"/>
      <c r="U42" s="2"/>
      <c r="W42" s="2"/>
      <c r="X42" s="10"/>
      <c r="Y42" s="44"/>
      <c r="Z42" s="44"/>
      <c r="AA42" s="44"/>
      <c r="AB42" s="44"/>
      <c r="AC42" s="44"/>
      <c r="AD42" s="2"/>
      <c r="AE42" s="2"/>
      <c r="AY42" s="103" t="s">
        <v>171</v>
      </c>
      <c r="AZ42" s="103" t="s">
        <v>172</v>
      </c>
      <c r="BA42" s="103" t="s">
        <v>321</v>
      </c>
      <c r="BB42" s="10">
        <v>308694</v>
      </c>
      <c r="BE42" s="77"/>
      <c r="BF42" s="253"/>
    </row>
    <row r="43" spans="1:58" ht="12.75">
      <c r="A43" s="3"/>
      <c r="B43" s="12"/>
      <c r="C43" s="3"/>
      <c r="G43" s="11"/>
      <c r="H43" s="11"/>
      <c r="I43" s="11"/>
      <c r="L43" s="2"/>
      <c r="W43" s="2"/>
      <c r="X43" s="2"/>
      <c r="Y43" s="2"/>
      <c r="Z43" s="10"/>
      <c r="AA43" s="2"/>
      <c r="AB43" s="2"/>
      <c r="AC43" s="2"/>
      <c r="AD43" s="2"/>
      <c r="AE43" s="2"/>
      <c r="AF43" s="2"/>
      <c r="AG43" s="2"/>
      <c r="AY43" s="103" t="s">
        <v>269</v>
      </c>
      <c r="AZ43" s="103" t="s">
        <v>440</v>
      </c>
      <c r="BA43" s="103" t="s">
        <v>321</v>
      </c>
      <c r="BB43" s="10">
        <v>401418</v>
      </c>
      <c r="BE43" s="70"/>
      <c r="BF43" s="249"/>
    </row>
    <row r="44" spans="1:58" ht="12.75">
      <c r="A44" s="3"/>
      <c r="B44" s="12"/>
      <c r="C44" s="3"/>
      <c r="G44" s="11"/>
      <c r="H44" s="11"/>
      <c r="I44" s="11"/>
      <c r="L44" s="2"/>
      <c r="W44" s="2"/>
      <c r="X44" s="2"/>
      <c r="Y44" s="2"/>
      <c r="Z44" s="10"/>
      <c r="AA44" s="2"/>
      <c r="AB44" s="2"/>
      <c r="AC44" s="2"/>
      <c r="AD44" s="2"/>
      <c r="AE44" s="2"/>
      <c r="AF44" s="2"/>
      <c r="AG44" s="2"/>
      <c r="AY44" s="103" t="s">
        <v>227</v>
      </c>
      <c r="AZ44" s="103" t="s">
        <v>428</v>
      </c>
      <c r="BA44" s="103" t="s">
        <v>321</v>
      </c>
      <c r="BB44" s="10">
        <v>313606</v>
      </c>
      <c r="BE44" s="70"/>
      <c r="BF44" s="239"/>
    </row>
    <row r="45" spans="1:58" ht="12.75">
      <c r="A45" s="3"/>
      <c r="B45" s="12"/>
      <c r="C45" s="3"/>
      <c r="G45" s="11"/>
      <c r="H45" s="11"/>
      <c r="I45" s="11"/>
      <c r="L45" s="2"/>
      <c r="W45" s="2"/>
      <c r="X45" s="2"/>
      <c r="Y45" s="2"/>
      <c r="Z45" s="10"/>
      <c r="AA45" s="2"/>
      <c r="AB45" s="2"/>
      <c r="AC45" s="2"/>
      <c r="AD45" s="2"/>
      <c r="AE45" s="2"/>
      <c r="AF45" s="2"/>
      <c r="AG45" s="2"/>
      <c r="AY45" s="103" t="s">
        <v>107</v>
      </c>
      <c r="AZ45" s="103" t="s">
        <v>108</v>
      </c>
      <c r="BA45" s="103" t="s">
        <v>321</v>
      </c>
      <c r="BB45" s="10">
        <v>383154</v>
      </c>
      <c r="BE45" s="70"/>
      <c r="BF45" s="239"/>
    </row>
    <row r="46" spans="1:58" ht="12.75">
      <c r="A46" s="3"/>
      <c r="B46" s="12"/>
      <c r="C46" s="3"/>
      <c r="G46" s="11"/>
      <c r="H46" s="11"/>
      <c r="I46" s="11"/>
      <c r="L46" s="2"/>
      <c r="W46" s="2"/>
      <c r="X46" s="2"/>
      <c r="Y46" s="2"/>
      <c r="Z46" s="10"/>
      <c r="AA46" s="2"/>
      <c r="AB46" s="2"/>
      <c r="AC46" s="2"/>
      <c r="AD46" s="2"/>
      <c r="AE46" s="2"/>
      <c r="AF46" s="2"/>
      <c r="AG46" s="2"/>
      <c r="AY46" s="103" t="s">
        <v>188</v>
      </c>
      <c r="AZ46" s="103" t="s">
        <v>419</v>
      </c>
      <c r="BA46" s="103" t="s">
        <v>502</v>
      </c>
      <c r="BB46" s="10">
        <v>386930</v>
      </c>
      <c r="BE46" s="70"/>
      <c r="BF46" s="239"/>
    </row>
    <row r="47" spans="1:58" ht="12.75">
      <c r="A47" s="3"/>
      <c r="B47" s="12"/>
      <c r="C47" s="14"/>
      <c r="G47" s="11"/>
      <c r="H47" s="11"/>
      <c r="I47" s="11"/>
      <c r="L47" s="2"/>
      <c r="W47" s="2"/>
      <c r="X47" s="2"/>
      <c r="Y47" s="2"/>
      <c r="Z47" s="10"/>
      <c r="AA47" s="2"/>
      <c r="AB47" s="2"/>
      <c r="AC47" s="2"/>
      <c r="AD47" s="2"/>
      <c r="AE47" s="2"/>
      <c r="AF47" s="2"/>
      <c r="AG47" s="2"/>
      <c r="AY47" s="103" t="s">
        <v>207</v>
      </c>
      <c r="AZ47" s="103" t="s">
        <v>208</v>
      </c>
      <c r="BA47" s="103" t="s">
        <v>321</v>
      </c>
      <c r="BB47" s="10">
        <v>314578</v>
      </c>
      <c r="BE47" s="70"/>
      <c r="BF47" s="239"/>
    </row>
    <row r="48" spans="1:58" ht="12.75">
      <c r="A48" s="3"/>
      <c r="B48" s="12"/>
      <c r="C48" s="3"/>
      <c r="G48" s="11"/>
      <c r="H48" s="11"/>
      <c r="I48" s="11"/>
      <c r="L48" s="2"/>
      <c r="U48" s="12"/>
      <c r="W48" s="2"/>
      <c r="X48" s="2"/>
      <c r="Y48" s="2"/>
      <c r="Z48" s="10"/>
      <c r="AA48" s="2"/>
      <c r="AB48" s="2"/>
      <c r="AC48" s="2"/>
      <c r="AD48" s="2"/>
      <c r="AE48" s="2"/>
      <c r="AF48" s="2"/>
      <c r="AG48" s="2"/>
      <c r="AY48" s="103" t="s">
        <v>220</v>
      </c>
      <c r="AZ48" s="103" t="s">
        <v>423</v>
      </c>
      <c r="BA48" s="103" t="s">
        <v>502</v>
      </c>
      <c r="BB48" s="10">
        <v>346446</v>
      </c>
      <c r="BE48" s="70"/>
      <c r="BF48" s="239"/>
    </row>
    <row r="49" spans="1:58" ht="12.75">
      <c r="A49" s="3"/>
      <c r="B49" s="12"/>
      <c r="C49" s="3"/>
      <c r="G49" s="11"/>
      <c r="H49" s="11"/>
      <c r="I49" s="11"/>
      <c r="L49" s="2"/>
      <c r="W49" s="2"/>
      <c r="X49" s="2"/>
      <c r="Y49" s="2"/>
      <c r="Z49" s="10"/>
      <c r="AA49" s="2"/>
      <c r="AB49" s="2"/>
      <c r="AC49" s="2"/>
      <c r="AD49" s="2"/>
      <c r="AE49" s="2"/>
      <c r="AF49" s="2"/>
      <c r="AG49" s="2"/>
      <c r="AY49" s="103" t="s">
        <v>255</v>
      </c>
      <c r="AZ49" s="103" t="s">
        <v>434</v>
      </c>
      <c r="BA49" s="103" t="s">
        <v>502</v>
      </c>
      <c r="BB49" s="10">
        <v>769993</v>
      </c>
      <c r="BE49" s="70"/>
      <c r="BF49" s="239"/>
    </row>
    <row r="50" spans="1:58" ht="12.75">
      <c r="A50" s="3"/>
      <c r="B50" s="12"/>
      <c r="C50" s="3"/>
      <c r="G50" s="11"/>
      <c r="H50" s="11"/>
      <c r="I50" s="11"/>
      <c r="L50" s="2"/>
      <c r="W50" s="2"/>
      <c r="X50" s="2"/>
      <c r="Y50" s="2"/>
      <c r="Z50" s="10"/>
      <c r="AA50" s="2"/>
      <c r="AB50" s="2"/>
      <c r="AC50" s="2"/>
      <c r="AD50" s="2"/>
      <c r="AE50" s="2"/>
      <c r="AF50" s="2"/>
      <c r="AG50" s="2"/>
      <c r="AY50" s="103" t="s">
        <v>71</v>
      </c>
      <c r="AZ50" s="103" t="s">
        <v>72</v>
      </c>
      <c r="BA50" s="103" t="s">
        <v>321</v>
      </c>
      <c r="BB50" s="10">
        <v>291547</v>
      </c>
      <c r="BE50" s="248"/>
      <c r="BF50" s="249"/>
    </row>
    <row r="51" spans="1:58" ht="12.75">
      <c r="A51" s="3"/>
      <c r="B51" s="12"/>
      <c r="C51" s="3"/>
      <c r="G51" s="11"/>
      <c r="H51" s="11"/>
      <c r="I51" s="11"/>
      <c r="L51" s="2"/>
      <c r="W51" s="2"/>
      <c r="X51" s="2"/>
      <c r="Y51" s="2"/>
      <c r="Z51" s="10"/>
      <c r="AA51" s="2"/>
      <c r="AB51" s="2"/>
      <c r="AC51" s="2"/>
      <c r="AD51" s="2"/>
      <c r="AE51" s="2"/>
      <c r="AF51" s="2"/>
      <c r="AG51" s="2"/>
      <c r="AY51" s="103" t="s">
        <v>129</v>
      </c>
      <c r="AZ51" s="103" t="s">
        <v>400</v>
      </c>
      <c r="BA51" s="103" t="s">
        <v>321</v>
      </c>
      <c r="BB51" s="10">
        <v>204331</v>
      </c>
      <c r="BE51" s="70"/>
      <c r="BF51" s="239"/>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262</v>
      </c>
      <c r="AZ52" s="103" t="s">
        <v>263</v>
      </c>
      <c r="BA52" s="103" t="s">
        <v>321</v>
      </c>
      <c r="BB52" s="10">
        <v>611636</v>
      </c>
      <c r="BF52" s="252"/>
    </row>
    <row r="53" spans="1:58" ht="12.75">
      <c r="A53" s="3"/>
      <c r="B53" s="12"/>
      <c r="C53" s="3"/>
      <c r="I53" s="11"/>
      <c r="J53" s="11"/>
      <c r="K53" s="11"/>
      <c r="L53" s="11"/>
      <c r="S53" s="11"/>
      <c r="U53" s="2"/>
      <c r="X53" s="2"/>
      <c r="Y53" s="2"/>
      <c r="Z53" s="2"/>
      <c r="AA53" s="2"/>
      <c r="AB53" s="2"/>
      <c r="AY53" s="103" t="s">
        <v>244</v>
      </c>
      <c r="AZ53" s="103" t="s">
        <v>433</v>
      </c>
      <c r="BA53" s="103" t="s">
        <v>321</v>
      </c>
      <c r="BB53" s="10">
        <v>230998</v>
      </c>
      <c r="BF53" s="252"/>
    </row>
    <row r="54" spans="1:58" ht="12.75">
      <c r="A54" s="3"/>
      <c r="B54" s="12"/>
      <c r="C54" s="3"/>
      <c r="I54" s="11"/>
      <c r="J54" s="11"/>
      <c r="K54" s="11"/>
      <c r="L54" s="11"/>
      <c r="S54" s="11"/>
      <c r="U54" s="2"/>
      <c r="X54" s="2"/>
      <c r="Y54" s="2"/>
      <c r="Z54" s="2"/>
      <c r="AA54" s="2"/>
      <c r="AB54" s="2"/>
      <c r="AY54" s="103" t="s">
        <v>67</v>
      </c>
      <c r="AZ54" s="103" t="s">
        <v>374</v>
      </c>
      <c r="BA54" s="103" t="s">
        <v>321</v>
      </c>
      <c r="BB54" s="10">
        <v>268678</v>
      </c>
      <c r="BE54" s="237"/>
      <c r="BF54" s="246"/>
    </row>
    <row r="55" spans="1:58" ht="12.75">
      <c r="A55" s="3"/>
      <c r="B55" s="12"/>
      <c r="C55" s="3"/>
      <c r="E55" s="2"/>
      <c r="F55" s="2"/>
      <c r="G55" s="2"/>
      <c r="I55" s="11"/>
      <c r="J55" s="11"/>
      <c r="K55" s="11"/>
      <c r="L55" s="11"/>
      <c r="S55" s="11"/>
      <c r="T55" s="2"/>
      <c r="U55" s="2"/>
      <c r="X55" s="2"/>
      <c r="Y55" s="2"/>
      <c r="Z55" s="2"/>
      <c r="AA55" s="2"/>
      <c r="AB55" s="2"/>
      <c r="AY55" s="103" t="s">
        <v>195</v>
      </c>
      <c r="AZ55" s="103" t="s">
        <v>420</v>
      </c>
      <c r="BA55" s="103" t="s">
        <v>321</v>
      </c>
      <c r="BB55" s="10">
        <v>317978</v>
      </c>
      <c r="BE55" s="70"/>
      <c r="BF55" s="241"/>
    </row>
    <row r="56" spans="1:58" ht="12.75">
      <c r="A56" s="3"/>
      <c r="B56" s="12"/>
      <c r="C56" s="3"/>
      <c r="E56" s="2"/>
      <c r="F56" s="2"/>
      <c r="G56" s="2"/>
      <c r="I56" s="11"/>
      <c r="J56" s="11"/>
      <c r="K56" s="11"/>
      <c r="L56" s="11"/>
      <c r="S56" s="11"/>
      <c r="T56" s="2"/>
      <c r="U56" s="2"/>
      <c r="X56" s="2"/>
      <c r="Y56" s="2"/>
      <c r="Z56" s="2"/>
      <c r="AA56" s="2"/>
      <c r="AB56" s="2"/>
      <c r="AY56" s="103" t="s">
        <v>99</v>
      </c>
      <c r="AZ56" s="103" t="s">
        <v>390</v>
      </c>
      <c r="BA56" s="103" t="s">
        <v>321</v>
      </c>
      <c r="BB56" s="10">
        <v>188460</v>
      </c>
      <c r="BE56" s="237"/>
      <c r="BF56" s="238"/>
    </row>
    <row r="57" spans="1:58" ht="12.75">
      <c r="A57" s="3"/>
      <c r="B57" s="12"/>
      <c r="C57" s="3"/>
      <c r="E57" s="2"/>
      <c r="F57" s="2"/>
      <c r="G57" s="2"/>
      <c r="I57" s="11"/>
      <c r="J57" s="11"/>
      <c r="K57" s="11"/>
      <c r="L57" s="11"/>
      <c r="S57" s="11"/>
      <c r="T57" s="2"/>
      <c r="U57" s="2"/>
      <c r="X57" s="2"/>
      <c r="Y57" s="2"/>
      <c r="Z57" s="2"/>
      <c r="AA57" s="2"/>
      <c r="AB57" s="2"/>
      <c r="AY57" s="103" t="s">
        <v>256</v>
      </c>
      <c r="AZ57" s="103" t="s">
        <v>435</v>
      </c>
      <c r="BA57" s="103" t="s">
        <v>321</v>
      </c>
      <c r="BB57" s="10">
        <v>1324786</v>
      </c>
      <c r="BF57" s="252"/>
    </row>
    <row r="58" spans="1:58" ht="12.75">
      <c r="A58" s="3"/>
      <c r="B58" s="12"/>
      <c r="C58" s="3"/>
      <c r="E58" s="2"/>
      <c r="F58" s="2"/>
      <c r="G58" s="2"/>
      <c r="I58" s="11"/>
      <c r="J58" s="11"/>
      <c r="K58" s="11"/>
      <c r="L58" s="11"/>
      <c r="S58" s="11"/>
      <c r="T58" s="2"/>
      <c r="U58" s="2"/>
      <c r="X58" s="2"/>
      <c r="Y58" s="2"/>
      <c r="Z58" s="2"/>
      <c r="AA58" s="2"/>
      <c r="AB58" s="2"/>
      <c r="AY58" s="103" t="s">
        <v>77</v>
      </c>
      <c r="AZ58" s="103" t="s">
        <v>380</v>
      </c>
      <c r="BA58" s="103" t="s">
        <v>321</v>
      </c>
      <c r="BB58" s="10">
        <v>245446</v>
      </c>
      <c r="BE58" s="70"/>
      <c r="BF58" s="249"/>
    </row>
    <row r="59" spans="1:58" ht="12.75">
      <c r="A59" s="3"/>
      <c r="B59" s="12"/>
      <c r="C59" s="3"/>
      <c r="E59" s="2"/>
      <c r="F59" s="2"/>
      <c r="G59" s="2"/>
      <c r="I59" s="11"/>
      <c r="J59" s="11"/>
      <c r="K59" s="11"/>
      <c r="L59" s="11"/>
      <c r="S59" s="11"/>
      <c r="T59" s="2"/>
      <c r="U59" s="2"/>
      <c r="X59" s="2"/>
      <c r="Y59" s="2"/>
      <c r="Z59" s="2"/>
      <c r="AA59" s="2"/>
      <c r="AB59" s="2"/>
      <c r="AY59" s="103" t="s">
        <v>124</v>
      </c>
      <c r="AZ59" s="103" t="s">
        <v>125</v>
      </c>
      <c r="BA59" s="103" t="s">
        <v>321</v>
      </c>
      <c r="BB59" s="10">
        <v>236510</v>
      </c>
      <c r="BE59" s="70"/>
      <c r="BF59" s="239"/>
    </row>
    <row r="60" spans="1:58" ht="12.75">
      <c r="A60" s="3"/>
      <c r="B60" s="12"/>
      <c r="C60" s="3"/>
      <c r="G60" s="2"/>
      <c r="I60" s="11"/>
      <c r="J60" s="11"/>
      <c r="K60" s="11"/>
      <c r="L60" s="11"/>
      <c r="S60" s="11"/>
      <c r="T60" s="2"/>
      <c r="U60" s="2"/>
      <c r="X60" s="2"/>
      <c r="Y60" s="2"/>
      <c r="Z60" s="2"/>
      <c r="AA60" s="2"/>
      <c r="AB60" s="2"/>
      <c r="AY60" s="103" t="s">
        <v>83</v>
      </c>
      <c r="AZ60" s="103" t="s">
        <v>84</v>
      </c>
      <c r="BA60" s="103" t="s">
        <v>321</v>
      </c>
      <c r="BB60" s="10">
        <v>93460</v>
      </c>
      <c r="BE60" s="70"/>
      <c r="BF60" s="239"/>
    </row>
    <row r="61" spans="1:58" ht="12.75">
      <c r="A61" s="3"/>
      <c r="B61" s="12"/>
      <c r="C61" s="3"/>
      <c r="G61" s="2"/>
      <c r="I61" s="11"/>
      <c r="J61" s="2"/>
      <c r="K61" s="2"/>
      <c r="L61" s="2"/>
      <c r="S61" s="2"/>
      <c r="T61" s="2"/>
      <c r="U61" s="2"/>
      <c r="X61" s="2"/>
      <c r="Y61" s="2"/>
      <c r="Z61" s="2"/>
      <c r="AA61" s="2"/>
      <c r="AB61" s="2"/>
      <c r="AY61" s="103" t="s">
        <v>221</v>
      </c>
      <c r="AZ61" s="103" t="s">
        <v>424</v>
      </c>
      <c r="BA61" s="103" t="s">
        <v>502</v>
      </c>
      <c r="BB61" s="10">
        <v>182385</v>
      </c>
      <c r="BE61" s="70"/>
      <c r="BF61" s="239"/>
    </row>
    <row r="62" spans="1:58" ht="12.75">
      <c r="A62" s="3"/>
      <c r="B62" s="12"/>
      <c r="C62" s="3"/>
      <c r="G62" s="2"/>
      <c r="I62" s="11"/>
      <c r="J62" s="2"/>
      <c r="K62" s="2"/>
      <c r="L62" s="2"/>
      <c r="S62" s="2"/>
      <c r="T62" s="2"/>
      <c r="U62" s="2"/>
      <c r="X62" s="2"/>
      <c r="Y62" s="2"/>
      <c r="Z62" s="2"/>
      <c r="AA62" s="2"/>
      <c r="AB62" s="2"/>
      <c r="AY62" s="103" t="s">
        <v>62</v>
      </c>
      <c r="AZ62" s="103" t="s">
        <v>63</v>
      </c>
      <c r="BA62" s="103" t="s">
        <v>502</v>
      </c>
      <c r="BB62" s="10">
        <v>255797</v>
      </c>
      <c r="BE62" s="70"/>
      <c r="BF62" s="239"/>
    </row>
    <row r="63" spans="1:58" ht="12.75">
      <c r="A63" s="3"/>
      <c r="B63" s="12"/>
      <c r="C63" s="3"/>
      <c r="G63" s="2"/>
      <c r="I63" s="11"/>
      <c r="J63" s="2"/>
      <c r="K63" s="2"/>
      <c r="L63" s="2"/>
      <c r="S63" s="2"/>
      <c r="T63" s="2"/>
      <c r="U63" s="2"/>
      <c r="V63" s="13"/>
      <c r="X63" s="2"/>
      <c r="Y63" s="2"/>
      <c r="Z63" s="2"/>
      <c r="AA63" s="2"/>
      <c r="AB63" s="2"/>
      <c r="AY63" s="103" t="s">
        <v>162</v>
      </c>
      <c r="AZ63" s="103" t="s">
        <v>413</v>
      </c>
      <c r="BA63" s="103" t="s">
        <v>321</v>
      </c>
      <c r="BB63" s="10">
        <v>318405</v>
      </c>
      <c r="BE63" s="70"/>
      <c r="BF63" s="239"/>
    </row>
    <row r="64" spans="1:58" ht="12.75">
      <c r="A64" s="3"/>
      <c r="B64" s="12"/>
      <c r="C64" s="3"/>
      <c r="I64" s="11"/>
      <c r="V64" s="3"/>
      <c r="AY64" s="103" t="s">
        <v>78</v>
      </c>
      <c r="AZ64" s="103" t="s">
        <v>381</v>
      </c>
      <c r="BA64" s="103" t="s">
        <v>502</v>
      </c>
      <c r="BB64" s="10">
        <v>181285</v>
      </c>
      <c r="BE64" s="70"/>
      <c r="BF64" s="241"/>
    </row>
    <row r="65" spans="1:58" ht="12.75">
      <c r="A65" s="3"/>
      <c r="B65" s="12"/>
      <c r="C65" s="3"/>
      <c r="AY65" s="103" t="s">
        <v>491</v>
      </c>
      <c r="AZ65" s="103" t="s">
        <v>492</v>
      </c>
      <c r="BA65" s="103" t="s">
        <v>321</v>
      </c>
      <c r="BB65" s="10">
        <v>1169302</v>
      </c>
      <c r="BE65" s="70"/>
      <c r="BF65" s="241"/>
    </row>
    <row r="66" spans="1:58" ht="12.75">
      <c r="A66" s="3"/>
      <c r="B66" s="12"/>
      <c r="C66" s="3"/>
      <c r="E66" s="2"/>
      <c r="F66" s="2"/>
      <c r="G66" s="2"/>
      <c r="V66" s="2"/>
      <c r="AY66" s="103" t="s">
        <v>200</v>
      </c>
      <c r="AZ66" s="103" t="s">
        <v>421</v>
      </c>
      <c r="BA66" s="103" t="s">
        <v>321</v>
      </c>
      <c r="BB66" s="10">
        <v>217916</v>
      </c>
      <c r="BE66" s="70"/>
      <c r="BF66" s="239"/>
    </row>
    <row r="67" spans="1:58" ht="12.75">
      <c r="A67" s="3"/>
      <c r="B67" s="12"/>
      <c r="C67" s="3"/>
      <c r="AY67" s="103" t="s">
        <v>69</v>
      </c>
      <c r="AZ67" s="103" t="s">
        <v>70</v>
      </c>
      <c r="BA67" s="103" t="s">
        <v>321</v>
      </c>
      <c r="BB67" s="10">
        <v>270842</v>
      </c>
      <c r="BE67" s="70"/>
      <c r="BF67" s="239"/>
    </row>
    <row r="68" spans="1:58" ht="12.75">
      <c r="A68" s="3"/>
      <c r="B68" s="12"/>
      <c r="C68" s="3"/>
      <c r="AY68" s="103" t="s">
        <v>109</v>
      </c>
      <c r="AZ68" s="103" t="s">
        <v>110</v>
      </c>
      <c r="BA68" s="103" t="s">
        <v>321</v>
      </c>
      <c r="BB68" s="10">
        <v>251613</v>
      </c>
      <c r="BF68" s="252"/>
    </row>
    <row r="69" spans="1:58" ht="12.75">
      <c r="A69" s="3"/>
      <c r="B69" s="12"/>
      <c r="C69" s="3"/>
      <c r="AY69" s="103" t="s">
        <v>209</v>
      </c>
      <c r="AZ69" s="103" t="s">
        <v>210</v>
      </c>
      <c r="BA69" s="103" t="s">
        <v>321</v>
      </c>
      <c r="BB69" s="10">
        <v>283547</v>
      </c>
      <c r="BE69" s="70"/>
      <c r="BF69" s="241"/>
    </row>
    <row r="70" spans="1:58" ht="12.75">
      <c r="A70" s="3"/>
      <c r="B70" s="12"/>
      <c r="C70" s="3"/>
      <c r="AY70" s="103" t="s">
        <v>275</v>
      </c>
      <c r="AZ70" s="103" t="s">
        <v>444</v>
      </c>
      <c r="BA70" s="103" t="s">
        <v>501</v>
      </c>
      <c r="BB70" s="10">
        <v>141474</v>
      </c>
      <c r="BE70" s="70"/>
      <c r="BF70" s="239"/>
    </row>
    <row r="71" spans="1:58" ht="12.75">
      <c r="A71" s="3"/>
      <c r="B71" s="12"/>
      <c r="C71" s="3"/>
      <c r="AY71" s="103" t="s">
        <v>127</v>
      </c>
      <c r="AZ71" s="103" t="s">
        <v>398</v>
      </c>
      <c r="BA71" s="103" t="s">
        <v>321</v>
      </c>
      <c r="BB71" s="10">
        <v>213326</v>
      </c>
      <c r="BE71" s="70"/>
      <c r="BF71" s="239"/>
    </row>
    <row r="72" spans="1:58" ht="12.75">
      <c r="A72" s="3"/>
      <c r="B72" s="12"/>
      <c r="C72" s="3"/>
      <c r="AY72" s="103" t="s">
        <v>136</v>
      </c>
      <c r="AZ72" s="103" t="s">
        <v>137</v>
      </c>
      <c r="BA72" s="103" t="s">
        <v>321</v>
      </c>
      <c r="BB72" s="10">
        <v>183220</v>
      </c>
      <c r="BE72" s="250"/>
      <c r="BF72" s="239"/>
    </row>
    <row r="73" spans="1:58" ht="12.75">
      <c r="A73" s="3"/>
      <c r="B73" s="12"/>
      <c r="C73" s="3"/>
      <c r="AY73" s="103" t="s">
        <v>64</v>
      </c>
      <c r="AZ73" s="103" t="s">
        <v>373</v>
      </c>
      <c r="BA73" s="103" t="s">
        <v>321</v>
      </c>
      <c r="BB73" s="10">
        <v>190143</v>
      </c>
      <c r="BE73" s="70"/>
      <c r="BF73" s="239"/>
    </row>
    <row r="74" spans="1:58" ht="12.75">
      <c r="A74" s="3"/>
      <c r="B74" s="12"/>
      <c r="C74" s="3"/>
      <c r="AY74" s="103" t="s">
        <v>165</v>
      </c>
      <c r="AZ74" s="103" t="s">
        <v>166</v>
      </c>
      <c r="BA74" s="103" t="s">
        <v>502</v>
      </c>
      <c r="BB74" s="10">
        <v>419928</v>
      </c>
      <c r="BE74" s="70"/>
      <c r="BF74" s="241"/>
    </row>
    <row r="75" spans="1:58" ht="12.75">
      <c r="A75" s="3"/>
      <c r="B75" s="12"/>
      <c r="C75" s="3"/>
      <c r="AY75" s="103" t="s">
        <v>113</v>
      </c>
      <c r="AZ75" s="103" t="s">
        <v>392</v>
      </c>
      <c r="BA75" s="103" t="s">
        <v>321</v>
      </c>
      <c r="BB75" s="10">
        <v>158106</v>
      </c>
      <c r="BE75" s="70"/>
      <c r="BF75" s="241"/>
    </row>
    <row r="76" spans="1:58" ht="12.75">
      <c r="A76" s="3"/>
      <c r="B76" s="12"/>
      <c r="C76" s="3"/>
      <c r="AY76" s="103" t="s">
        <v>140</v>
      </c>
      <c r="AZ76" s="103" t="s">
        <v>141</v>
      </c>
      <c r="BA76" s="103" t="s">
        <v>321</v>
      </c>
      <c r="BB76" s="10">
        <v>377807</v>
      </c>
      <c r="BE76" s="70"/>
      <c r="BF76" s="241"/>
    </row>
    <row r="77" spans="1:58" ht="12.75">
      <c r="A77" s="3"/>
      <c r="B77" s="12"/>
      <c r="C77" s="3"/>
      <c r="AY77" s="103" t="s">
        <v>163</v>
      </c>
      <c r="AZ77" s="103" t="s">
        <v>164</v>
      </c>
      <c r="BA77" s="103" t="s">
        <v>502</v>
      </c>
      <c r="BB77" s="10">
        <v>799634</v>
      </c>
      <c r="BE77" s="70"/>
      <c r="BF77" s="249"/>
    </row>
    <row r="78" spans="1:58" ht="12.75">
      <c r="A78" s="3"/>
      <c r="B78" s="12"/>
      <c r="C78" s="3"/>
      <c r="AY78" s="103" t="s">
        <v>224</v>
      </c>
      <c r="AZ78" s="103" t="s">
        <v>225</v>
      </c>
      <c r="BA78" s="103" t="s">
        <v>321</v>
      </c>
      <c r="BB78" s="10">
        <v>362638</v>
      </c>
      <c r="BE78" s="70"/>
      <c r="BF78" s="239"/>
    </row>
    <row r="79" spans="1:58" ht="12.75">
      <c r="A79" s="3"/>
      <c r="B79" s="12"/>
      <c r="C79" s="3"/>
      <c r="AY79" s="103" t="s">
        <v>223</v>
      </c>
      <c r="AZ79" s="103" t="s">
        <v>426</v>
      </c>
      <c r="BA79" s="103" t="s">
        <v>321</v>
      </c>
      <c r="BB79" s="10">
        <v>678998</v>
      </c>
      <c r="BF79" s="239"/>
    </row>
    <row r="80" spans="1:58" ht="12.75">
      <c r="A80" s="3"/>
      <c r="B80" s="12"/>
      <c r="C80" s="3"/>
      <c r="AY80" s="103" t="s">
        <v>144</v>
      </c>
      <c r="AZ80" s="103" t="s">
        <v>145</v>
      </c>
      <c r="BA80" s="103" t="s">
        <v>321</v>
      </c>
      <c r="BB80" s="10">
        <v>290986</v>
      </c>
      <c r="BF80" s="252"/>
    </row>
    <row r="81" spans="1:58" ht="12.75">
      <c r="A81" s="3"/>
      <c r="B81" s="12"/>
      <c r="C81" s="3"/>
      <c r="AY81" s="103" t="s">
        <v>178</v>
      </c>
      <c r="AZ81" s="103" t="s">
        <v>415</v>
      </c>
      <c r="BA81" s="103" t="s">
        <v>502</v>
      </c>
      <c r="BB81" s="10">
        <v>747976</v>
      </c>
      <c r="BF81" s="252"/>
    </row>
    <row r="82" spans="1:58" ht="12.75">
      <c r="A82" s="3"/>
      <c r="B82" s="12"/>
      <c r="C82" s="3"/>
      <c r="AY82" s="103" t="s">
        <v>193</v>
      </c>
      <c r="AZ82" s="103" t="s">
        <v>194</v>
      </c>
      <c r="BA82" s="103" t="s">
        <v>321</v>
      </c>
      <c r="BB82" s="10">
        <v>489140</v>
      </c>
      <c r="BF82" s="252"/>
    </row>
    <row r="83" spans="1:58" ht="12.75">
      <c r="A83" s="3"/>
      <c r="B83" s="12"/>
      <c r="C83" s="3"/>
      <c r="AY83" s="103" t="s">
        <v>98</v>
      </c>
      <c r="AZ83" s="103" t="s">
        <v>389</v>
      </c>
      <c r="BA83" s="103" t="s">
        <v>502</v>
      </c>
      <c r="BB83" s="10">
        <v>208442</v>
      </c>
      <c r="BE83" s="70"/>
      <c r="BF83" s="241"/>
    </row>
    <row r="84" spans="1:58" ht="12.75">
      <c r="A84" s="3"/>
      <c r="B84" s="12"/>
      <c r="C84" s="3"/>
      <c r="AY84" s="103" t="s">
        <v>203</v>
      </c>
      <c r="AZ84" s="103" t="s">
        <v>204</v>
      </c>
      <c r="BA84" s="103" t="s">
        <v>502</v>
      </c>
      <c r="BB84" s="10">
        <v>545543</v>
      </c>
      <c r="BE84" s="70"/>
      <c r="BF84" s="241"/>
    </row>
    <row r="85" spans="1:58" ht="12.75">
      <c r="A85" s="3"/>
      <c r="B85" s="12"/>
      <c r="C85" s="3"/>
      <c r="AY85" s="103" t="s">
        <v>135</v>
      </c>
      <c r="AZ85" s="103" t="s">
        <v>404</v>
      </c>
      <c r="BA85" s="103" t="s">
        <v>502</v>
      </c>
      <c r="BB85" s="10">
        <v>274067</v>
      </c>
      <c r="BE85" s="70"/>
      <c r="BF85" s="241"/>
    </row>
    <row r="86" spans="1:58" ht="12.75">
      <c r="A86" s="3"/>
      <c r="B86" s="12"/>
      <c r="C86" s="3"/>
      <c r="AY86" s="103" t="s">
        <v>251</v>
      </c>
      <c r="AZ86" s="103" t="s">
        <v>252</v>
      </c>
      <c r="BA86" s="103" t="s">
        <v>502</v>
      </c>
      <c r="BB86" s="10">
        <v>374861</v>
      </c>
      <c r="BE86" s="70"/>
      <c r="BF86" s="249"/>
    </row>
    <row r="87" spans="1:58" ht="12.75">
      <c r="A87" s="3"/>
      <c r="B87" s="12"/>
      <c r="C87" s="3"/>
      <c r="AY87" s="103" t="s">
        <v>132</v>
      </c>
      <c r="AZ87" s="103" t="s">
        <v>133</v>
      </c>
      <c r="BA87" s="103" t="s">
        <v>321</v>
      </c>
      <c r="BB87" s="10">
        <v>153833</v>
      </c>
      <c r="BE87" s="70"/>
      <c r="BF87" s="249"/>
    </row>
    <row r="88" spans="1:58" ht="12.75">
      <c r="A88" s="3"/>
      <c r="B88" s="12"/>
      <c r="C88" s="3"/>
      <c r="AY88" s="103" t="s">
        <v>79</v>
      </c>
      <c r="AZ88" s="103" t="s">
        <v>80</v>
      </c>
      <c r="BA88" s="103" t="s">
        <v>502</v>
      </c>
      <c r="BB88" s="10">
        <v>258492</v>
      </c>
      <c r="BE88" s="70"/>
      <c r="BF88" s="241"/>
    </row>
    <row r="89" spans="1:58" ht="12.75">
      <c r="A89" s="3"/>
      <c r="B89" s="12"/>
      <c r="C89" s="3"/>
      <c r="AY89" s="103" t="s">
        <v>81</v>
      </c>
      <c r="AZ89" s="103" t="s">
        <v>382</v>
      </c>
      <c r="BA89" s="103" t="s">
        <v>321</v>
      </c>
      <c r="BB89" s="10">
        <v>283085</v>
      </c>
      <c r="BE89" s="70"/>
      <c r="BF89" s="241"/>
    </row>
    <row r="90" spans="1:58" ht="12.75">
      <c r="A90" s="3"/>
      <c r="B90" s="12"/>
      <c r="C90" s="3"/>
      <c r="AY90" s="103" t="s">
        <v>76</v>
      </c>
      <c r="AZ90" s="103" t="s">
        <v>379</v>
      </c>
      <c r="BA90" s="103" t="s">
        <v>321</v>
      </c>
      <c r="BB90" s="10">
        <v>357346</v>
      </c>
      <c r="BE90" s="70"/>
      <c r="BF90" s="241"/>
    </row>
    <row r="91" spans="1:58" ht="12.75">
      <c r="A91" s="3"/>
      <c r="B91" s="12"/>
      <c r="C91" s="3"/>
      <c r="AY91" s="103" t="s">
        <v>243</v>
      </c>
      <c r="AZ91" s="103" t="s">
        <v>432</v>
      </c>
      <c r="BA91" s="103" t="s">
        <v>502</v>
      </c>
      <c r="BB91" s="10">
        <v>748575</v>
      </c>
      <c r="BE91" s="247"/>
      <c r="BF91" s="249"/>
    </row>
    <row r="92" spans="1:58" ht="12.75">
      <c r="A92" s="3"/>
      <c r="B92" s="12"/>
      <c r="C92" s="3"/>
      <c r="AY92" s="103" t="s">
        <v>249</v>
      </c>
      <c r="AZ92" s="103" t="s">
        <v>250</v>
      </c>
      <c r="BA92" s="103" t="s">
        <v>502</v>
      </c>
      <c r="BB92" s="10">
        <v>322673</v>
      </c>
      <c r="BE92" s="247"/>
      <c r="BF92" s="249"/>
    </row>
    <row r="93" spans="1:58" ht="12.75">
      <c r="A93" s="3"/>
      <c r="B93" s="12"/>
      <c r="C93" s="3"/>
      <c r="AY93" s="103" t="s">
        <v>58</v>
      </c>
      <c r="AZ93" s="103" t="s">
        <v>59</v>
      </c>
      <c r="BA93" s="103" t="s">
        <v>321</v>
      </c>
      <c r="BB93" s="10">
        <v>165284</v>
      </c>
      <c r="BF93" s="252"/>
    </row>
    <row r="94" spans="1:58" ht="12.75">
      <c r="A94" s="3"/>
      <c r="B94" s="12"/>
      <c r="C94" s="3"/>
      <c r="AY94" s="103" t="s">
        <v>186</v>
      </c>
      <c r="AZ94" s="103" t="s">
        <v>417</v>
      </c>
      <c r="BA94" s="103" t="s">
        <v>321</v>
      </c>
      <c r="BB94" s="10">
        <v>339272</v>
      </c>
      <c r="BE94" s="70"/>
      <c r="BF94" s="241"/>
    </row>
    <row r="95" spans="1:58" ht="12.75">
      <c r="A95" s="3"/>
      <c r="B95" s="12"/>
      <c r="C95" s="3"/>
      <c r="AY95" s="103" t="s">
        <v>86</v>
      </c>
      <c r="AZ95" s="103" t="s">
        <v>87</v>
      </c>
      <c r="BA95" s="103" t="s">
        <v>321</v>
      </c>
      <c r="BB95" s="10">
        <v>165642</v>
      </c>
      <c r="BE95" s="247"/>
      <c r="BF95" s="249"/>
    </row>
    <row r="96" spans="1:58" ht="12.75">
      <c r="A96" s="3"/>
      <c r="B96" s="12"/>
      <c r="C96" s="3"/>
      <c r="AY96" s="103" t="s">
        <v>157</v>
      </c>
      <c r="AZ96" s="103" t="s">
        <v>158</v>
      </c>
      <c r="BA96" s="103" t="s">
        <v>321</v>
      </c>
      <c r="BB96" s="10">
        <v>208351</v>
      </c>
      <c r="BE96" s="243"/>
      <c r="BF96" s="238"/>
    </row>
    <row r="97" spans="1:58" ht="12.75">
      <c r="A97" s="3"/>
      <c r="B97" s="12"/>
      <c r="C97" s="3"/>
      <c r="AY97" s="103" t="s">
        <v>231</v>
      </c>
      <c r="AZ97" s="103" t="s">
        <v>232</v>
      </c>
      <c r="BA97" s="103" t="s">
        <v>321</v>
      </c>
      <c r="BB97" s="10">
        <v>203178</v>
      </c>
      <c r="BE97" s="243"/>
      <c r="BF97" s="238"/>
    </row>
    <row r="98" spans="1:58" ht="12.75">
      <c r="A98" s="3"/>
      <c r="B98" s="12"/>
      <c r="C98" s="3"/>
      <c r="AY98" s="103" t="s">
        <v>82</v>
      </c>
      <c r="AZ98" s="103" t="s">
        <v>383</v>
      </c>
      <c r="BA98" s="103" t="s">
        <v>321</v>
      </c>
      <c r="BB98" s="10">
        <v>214052</v>
      </c>
      <c r="BE98" s="248"/>
      <c r="BF98" s="241"/>
    </row>
    <row r="99" spans="1:58" ht="12.75">
      <c r="A99" s="3"/>
      <c r="B99" s="12"/>
      <c r="C99" s="3"/>
      <c r="AY99" s="103" t="s">
        <v>205</v>
      </c>
      <c r="AZ99" s="103" t="s">
        <v>206</v>
      </c>
      <c r="BA99" s="103" t="s">
        <v>502</v>
      </c>
      <c r="BB99" s="10">
        <v>795503</v>
      </c>
      <c r="BE99" s="70"/>
      <c r="BF99" s="249"/>
    </row>
    <row r="100" spans="1:58" ht="12.75">
      <c r="A100" s="3"/>
      <c r="B100" s="12"/>
      <c r="C100" s="3"/>
      <c r="AY100" s="103" t="s">
        <v>226</v>
      </c>
      <c r="AZ100" s="103" t="s">
        <v>427</v>
      </c>
      <c r="BA100" s="103" t="s">
        <v>321</v>
      </c>
      <c r="BB100" s="10">
        <v>648340</v>
      </c>
      <c r="BE100" s="70"/>
      <c r="BF100" s="249"/>
    </row>
    <row r="101" spans="51:58" ht="12.75">
      <c r="AY101" s="103" t="s">
        <v>51</v>
      </c>
      <c r="AZ101" s="103" t="s">
        <v>52</v>
      </c>
      <c r="BA101" s="103" t="s">
        <v>321</v>
      </c>
      <c r="BB101" s="10">
        <v>320818</v>
      </c>
      <c r="BE101" s="237"/>
      <c r="BF101" s="238"/>
    </row>
    <row r="102" spans="51:58" ht="12.75">
      <c r="AY102" s="103" t="s">
        <v>88</v>
      </c>
      <c r="AZ102" s="103" t="s">
        <v>89</v>
      </c>
      <c r="BA102" s="103" t="s">
        <v>321</v>
      </c>
      <c r="BB102" s="10">
        <v>339920</v>
      </c>
      <c r="BE102" s="237"/>
      <c r="BF102" s="238"/>
    </row>
    <row r="103" spans="51:58" ht="12.75">
      <c r="AY103" s="103" t="s">
        <v>177</v>
      </c>
      <c r="AZ103" s="103" t="s">
        <v>414</v>
      </c>
      <c r="BA103" s="103" t="s">
        <v>321</v>
      </c>
      <c r="BB103" s="10">
        <v>656875</v>
      </c>
      <c r="BE103" s="70"/>
      <c r="BF103" s="239"/>
    </row>
    <row r="104" spans="51:58" ht="12.75">
      <c r="AY104" s="103" t="s">
        <v>114</v>
      </c>
      <c r="AZ104" s="103" t="s">
        <v>393</v>
      </c>
      <c r="BA104" s="103" t="s">
        <v>321</v>
      </c>
      <c r="BB104" s="10">
        <v>236592</v>
      </c>
      <c r="BF104" s="252"/>
    </row>
    <row r="105" spans="51:58" ht="12.75">
      <c r="AY105" s="103" t="s">
        <v>259</v>
      </c>
      <c r="AZ105" s="103" t="s">
        <v>436</v>
      </c>
      <c r="BA105" s="103" t="s">
        <v>502</v>
      </c>
      <c r="BB105" s="10">
        <v>671572</v>
      </c>
      <c r="BE105" s="237"/>
      <c r="BF105" s="238"/>
    </row>
    <row r="106" spans="51:58" ht="12.75">
      <c r="AY106" s="103" t="s">
        <v>239</v>
      </c>
      <c r="AZ106" s="103" t="s">
        <v>240</v>
      </c>
      <c r="BA106" s="103" t="s">
        <v>502</v>
      </c>
      <c r="BB106" s="10">
        <v>177882</v>
      </c>
      <c r="BF106" s="252"/>
    </row>
    <row r="107" spans="51:58" ht="12.75">
      <c r="AY107" s="103" t="s">
        <v>91</v>
      </c>
      <c r="AZ107" s="103" t="s">
        <v>386</v>
      </c>
      <c r="BA107" s="103" t="s">
        <v>321</v>
      </c>
      <c r="BB107" s="10">
        <v>274443</v>
      </c>
      <c r="BF107" s="252"/>
    </row>
    <row r="108" spans="51:58" ht="12.75">
      <c r="AY108" s="103" t="s">
        <v>95</v>
      </c>
      <c r="AZ108" s="103" t="s">
        <v>388</v>
      </c>
      <c r="BA108" s="103" t="s">
        <v>321</v>
      </c>
      <c r="BB108" s="10">
        <v>213174</v>
      </c>
      <c r="BE108" s="70"/>
      <c r="BF108" s="239"/>
    </row>
    <row r="109" spans="51:58" ht="12.75">
      <c r="AY109" s="103" t="s">
        <v>179</v>
      </c>
      <c r="AZ109" s="103" t="s">
        <v>180</v>
      </c>
      <c r="BA109" s="103" t="s">
        <v>321</v>
      </c>
      <c r="BB109" s="10">
        <v>278950</v>
      </c>
      <c r="BE109" s="237"/>
      <c r="BF109" s="238"/>
    </row>
    <row r="110" spans="51:58" ht="12.75">
      <c r="AY110" s="103" t="s">
        <v>273</v>
      </c>
      <c r="AZ110" s="103" t="s">
        <v>274</v>
      </c>
      <c r="BA110" s="103" t="s">
        <v>321</v>
      </c>
      <c r="BB110" s="10">
        <v>133304</v>
      </c>
      <c r="BE110" s="70"/>
      <c r="BF110" s="249"/>
    </row>
    <row r="111" spans="51:58" ht="12.75">
      <c r="AY111" s="103" t="s">
        <v>155</v>
      </c>
      <c r="AZ111" s="103" t="s">
        <v>408</v>
      </c>
      <c r="BA111" s="103" t="s">
        <v>321</v>
      </c>
      <c r="BB111" s="10">
        <v>197060</v>
      </c>
      <c r="BE111" s="70"/>
      <c r="BF111" s="239"/>
    </row>
    <row r="112" spans="51:58" ht="12.75">
      <c r="AY112" s="103" t="s">
        <v>100</v>
      </c>
      <c r="AZ112" s="103" t="s">
        <v>101</v>
      </c>
      <c r="BA112" s="103" t="s">
        <v>321</v>
      </c>
      <c r="BB112" s="10">
        <v>253140</v>
      </c>
      <c r="BE112" s="250"/>
      <c r="BF112" s="249"/>
    </row>
    <row r="113" spans="51:58" ht="12.75">
      <c r="AY113" s="103" t="s">
        <v>92</v>
      </c>
      <c r="AZ113" s="103" t="s">
        <v>93</v>
      </c>
      <c r="BA113" s="103" t="s">
        <v>321</v>
      </c>
      <c r="BB113" s="10">
        <v>240983</v>
      </c>
      <c r="BE113" s="70"/>
      <c r="BF113" s="241"/>
    </row>
    <row r="114" spans="51:58" ht="12.75">
      <c r="AY114" s="103" t="s">
        <v>228</v>
      </c>
      <c r="AZ114" s="103" t="s">
        <v>429</v>
      </c>
      <c r="BA114" s="103" t="s">
        <v>321</v>
      </c>
      <c r="BB114" s="10">
        <v>340451</v>
      </c>
      <c r="BF114" s="241"/>
    </row>
    <row r="115" spans="51:58" ht="12.75">
      <c r="AY115" s="103" t="s">
        <v>189</v>
      </c>
      <c r="AZ115" s="103" t="s">
        <v>190</v>
      </c>
      <c r="BA115" s="103" t="s">
        <v>321</v>
      </c>
      <c r="BB115" s="10">
        <v>280673</v>
      </c>
      <c r="BE115" s="248"/>
      <c r="BF115" s="241"/>
    </row>
    <row r="116" spans="51:58" ht="12.75">
      <c r="AY116" s="103" t="s">
        <v>169</v>
      </c>
      <c r="AZ116" s="103" t="s">
        <v>170</v>
      </c>
      <c r="BA116" s="103" t="s">
        <v>321</v>
      </c>
      <c r="BB116" s="10">
        <v>565874</v>
      </c>
      <c r="BE116" s="70"/>
      <c r="BF116" s="239"/>
    </row>
    <row r="117" spans="51:58" ht="12.75">
      <c r="AY117" s="103" t="s">
        <v>152</v>
      </c>
      <c r="AZ117" s="103" t="s">
        <v>407</v>
      </c>
      <c r="BA117" s="103" t="s">
        <v>502</v>
      </c>
      <c r="BB117" s="10">
        <v>295379</v>
      </c>
      <c r="BE117" s="237"/>
      <c r="BF117" s="238"/>
    </row>
    <row r="118" spans="51:58" ht="12.75">
      <c r="AY118" s="103" t="s">
        <v>56</v>
      </c>
      <c r="AZ118" s="103" t="s">
        <v>57</v>
      </c>
      <c r="BA118" s="103" t="s">
        <v>321</v>
      </c>
      <c r="BB118" s="10">
        <v>217094</v>
      </c>
      <c r="BE118" s="70"/>
      <c r="BF118" s="239"/>
    </row>
    <row r="119" spans="51:58" ht="12.75">
      <c r="AY119" s="103" t="s">
        <v>268</v>
      </c>
      <c r="AZ119" s="103" t="s">
        <v>439</v>
      </c>
      <c r="BA119" s="103" t="s">
        <v>321</v>
      </c>
      <c r="BB119" s="10">
        <v>538131</v>
      </c>
      <c r="BE119" s="70"/>
      <c r="BF119" s="239"/>
    </row>
    <row r="120" spans="51:58" ht="12.75">
      <c r="AY120" s="103" t="s">
        <v>150</v>
      </c>
      <c r="AZ120" s="103" t="s">
        <v>151</v>
      </c>
      <c r="BA120" s="103" t="s">
        <v>502</v>
      </c>
      <c r="BB120" s="10">
        <v>389725</v>
      </c>
      <c r="BE120" s="70"/>
      <c r="BF120" s="239"/>
    </row>
    <row r="121" spans="51:58" ht="12.75">
      <c r="AY121" s="103" t="s">
        <v>212</v>
      </c>
      <c r="AZ121" s="103" t="s">
        <v>213</v>
      </c>
      <c r="BA121" s="103" t="s">
        <v>502</v>
      </c>
      <c r="BB121" s="10">
        <v>356812</v>
      </c>
      <c r="BE121" s="237"/>
      <c r="BF121" s="238"/>
    </row>
    <row r="122" spans="51:58" ht="12.75">
      <c r="AY122" s="103" t="s">
        <v>60</v>
      </c>
      <c r="AZ122" s="103" t="s">
        <v>61</v>
      </c>
      <c r="BA122" s="103" t="s">
        <v>321</v>
      </c>
      <c r="BB122" s="10">
        <v>256321</v>
      </c>
      <c r="BE122" s="70"/>
      <c r="BF122" s="249"/>
    </row>
    <row r="123" spans="51:58" ht="12.75">
      <c r="AY123" s="103" t="s">
        <v>234</v>
      </c>
      <c r="AZ123" s="103" t="s">
        <v>431</v>
      </c>
      <c r="BA123" s="103" t="s">
        <v>502</v>
      </c>
      <c r="BB123" s="10">
        <v>615835</v>
      </c>
      <c r="BF123" s="252"/>
    </row>
    <row r="124" spans="51:58" ht="12.75">
      <c r="AY124" s="103" t="s">
        <v>130</v>
      </c>
      <c r="AZ124" s="103" t="s">
        <v>401</v>
      </c>
      <c r="BA124" s="103" t="s">
        <v>321</v>
      </c>
      <c r="BB124" s="10">
        <v>150179</v>
      </c>
      <c r="BF124" s="252"/>
    </row>
    <row r="125" spans="51:58" ht="12.75">
      <c r="AY125" s="103" t="s">
        <v>253</v>
      </c>
      <c r="AZ125" s="103" t="s">
        <v>254</v>
      </c>
      <c r="BA125" s="103" t="s">
        <v>321</v>
      </c>
      <c r="BB125" s="10">
        <v>420503</v>
      </c>
      <c r="BE125" s="70"/>
      <c r="BF125" s="249"/>
    </row>
    <row r="126" spans="51:58" ht="12.75">
      <c r="AY126" s="103" t="s">
        <v>134</v>
      </c>
      <c r="AZ126" s="103" t="s">
        <v>403</v>
      </c>
      <c r="BA126" s="103" t="s">
        <v>321</v>
      </c>
      <c r="BB126" s="10">
        <v>263936</v>
      </c>
      <c r="BE126" s="70"/>
      <c r="BF126" s="239"/>
    </row>
    <row r="127" spans="51:58" ht="12.75">
      <c r="AY127" s="103" t="s">
        <v>142</v>
      </c>
      <c r="AZ127" s="103" t="s">
        <v>143</v>
      </c>
      <c r="BA127" s="103" t="s">
        <v>321</v>
      </c>
      <c r="BB127" s="10">
        <v>308593</v>
      </c>
      <c r="BF127" s="252"/>
    </row>
    <row r="128" spans="51:58" ht="12.75">
      <c r="AY128" s="103" t="s">
        <v>94</v>
      </c>
      <c r="AZ128" s="103" t="s">
        <v>387</v>
      </c>
      <c r="BA128" s="103" t="s">
        <v>502</v>
      </c>
      <c r="BB128" s="10">
        <v>298190</v>
      </c>
      <c r="BE128" s="250"/>
      <c r="BF128" s="249"/>
    </row>
    <row r="129" spans="51:58" ht="12.75">
      <c r="AY129" s="103" t="s">
        <v>85</v>
      </c>
      <c r="AZ129" s="103" t="s">
        <v>384</v>
      </c>
      <c r="BA129" s="103" t="s">
        <v>321</v>
      </c>
      <c r="BB129" s="10">
        <v>191885</v>
      </c>
      <c r="BE129" s="70"/>
      <c r="BF129" s="249"/>
    </row>
    <row r="130" spans="51:58" ht="12.75">
      <c r="AY130" s="103" t="s">
        <v>233</v>
      </c>
      <c r="AZ130" s="103" t="s">
        <v>430</v>
      </c>
      <c r="BA130" s="103" t="s">
        <v>321</v>
      </c>
      <c r="BB130" s="10">
        <v>268223</v>
      </c>
      <c r="BE130" s="70"/>
      <c r="BF130" s="249"/>
    </row>
    <row r="131" spans="51:58" ht="12.75">
      <c r="AY131" s="103" t="s">
        <v>245</v>
      </c>
      <c r="AZ131" s="103" t="s">
        <v>246</v>
      </c>
      <c r="BA131" s="103" t="s">
        <v>502</v>
      </c>
      <c r="BB131" s="10">
        <v>616983</v>
      </c>
      <c r="BE131" s="247"/>
      <c r="BF131" s="249"/>
    </row>
    <row r="132" spans="51:58" ht="12.75">
      <c r="AY132" s="103" t="s">
        <v>131</v>
      </c>
      <c r="AZ132" s="103" t="s">
        <v>402</v>
      </c>
      <c r="BA132" s="103" t="s">
        <v>321</v>
      </c>
      <c r="BB132" s="10">
        <v>283991</v>
      </c>
      <c r="BE132" s="247"/>
      <c r="BF132" s="249"/>
    </row>
    <row r="133" spans="51:58" ht="12.75">
      <c r="AY133" s="103" t="s">
        <v>216</v>
      </c>
      <c r="AZ133" s="103" t="s">
        <v>217</v>
      </c>
      <c r="BA133" s="103" t="s">
        <v>321</v>
      </c>
      <c r="BB133" s="10">
        <v>1156805</v>
      </c>
      <c r="BE133" s="247"/>
      <c r="BF133" s="251"/>
    </row>
    <row r="134" spans="51:58" ht="12.75">
      <c r="AY134" s="103" t="s">
        <v>156</v>
      </c>
      <c r="AZ134" s="103" t="s">
        <v>409</v>
      </c>
      <c r="BA134" s="103" t="s">
        <v>321</v>
      </c>
      <c r="BB134" s="10">
        <v>390971</v>
      </c>
      <c r="BE134" s="243"/>
      <c r="BF134" s="238"/>
    </row>
    <row r="135" spans="51:58" ht="12.75">
      <c r="AY135" s="103" t="s">
        <v>121</v>
      </c>
      <c r="AZ135" s="103" t="s">
        <v>122</v>
      </c>
      <c r="BA135" s="103" t="s">
        <v>501</v>
      </c>
      <c r="BB135" s="10">
        <v>218182</v>
      </c>
      <c r="BE135" s="250"/>
      <c r="BF135" s="249"/>
    </row>
    <row r="136" spans="51:58" ht="12.75">
      <c r="AY136" s="103" t="s">
        <v>148</v>
      </c>
      <c r="AZ136" s="103" t="s">
        <v>405</v>
      </c>
      <c r="BA136" s="103" t="s">
        <v>502</v>
      </c>
      <c r="BB136" s="10">
        <v>236598</v>
      </c>
      <c r="BE136" s="237"/>
      <c r="BF136" s="238"/>
    </row>
    <row r="137" spans="51:58" ht="12.75">
      <c r="AY137" s="103" t="s">
        <v>160</v>
      </c>
      <c r="AZ137" s="103" t="s">
        <v>411</v>
      </c>
      <c r="BA137" s="103" t="s">
        <v>502</v>
      </c>
      <c r="BB137" s="10">
        <v>165993</v>
      </c>
      <c r="BF137" s="252"/>
    </row>
    <row r="138" spans="51:58" ht="12.75">
      <c r="AY138" s="103" t="s">
        <v>54</v>
      </c>
      <c r="AZ138" s="103" t="s">
        <v>55</v>
      </c>
      <c r="BA138" s="103" t="s">
        <v>321</v>
      </c>
      <c r="BB138" s="10">
        <v>145889</v>
      </c>
      <c r="BE138" s="70"/>
      <c r="BF138" s="239"/>
    </row>
    <row r="139" spans="51:58" ht="12.75">
      <c r="AY139" s="103" t="s">
        <v>75</v>
      </c>
      <c r="AZ139" s="103" t="s">
        <v>378</v>
      </c>
      <c r="BA139" s="103" t="s">
        <v>321</v>
      </c>
      <c r="BB139" s="10">
        <v>267393</v>
      </c>
      <c r="BE139" s="237"/>
      <c r="BF139" s="238"/>
    </row>
    <row r="140" spans="51:58" ht="12.75">
      <c r="AY140" s="103" t="s">
        <v>201</v>
      </c>
      <c r="AZ140" s="103" t="s">
        <v>202</v>
      </c>
      <c r="BA140" s="103" t="s">
        <v>502</v>
      </c>
      <c r="BB140" s="10">
        <v>232551</v>
      </c>
      <c r="BE140" s="70"/>
      <c r="BF140" s="239"/>
    </row>
    <row r="141" spans="51:58" ht="12.75">
      <c r="AY141" s="103" t="s">
        <v>167</v>
      </c>
      <c r="AZ141" s="103" t="s">
        <v>168</v>
      </c>
      <c r="BA141" s="103" t="s">
        <v>502</v>
      </c>
      <c r="BB141" s="10">
        <v>350958</v>
      </c>
      <c r="BE141" s="70"/>
      <c r="BF141" s="239"/>
    </row>
    <row r="142" spans="51:58" ht="12.75">
      <c r="AY142" s="103" t="s">
        <v>153</v>
      </c>
      <c r="AZ142" s="103" t="s">
        <v>154</v>
      </c>
      <c r="BA142" s="103" t="s">
        <v>321</v>
      </c>
      <c r="BB142" s="10">
        <v>265654</v>
      </c>
      <c r="BE142" s="70"/>
      <c r="BF142" s="241"/>
    </row>
    <row r="143" spans="51:58" ht="12.75">
      <c r="AY143" s="103" t="s">
        <v>181</v>
      </c>
      <c r="AZ143" s="103" t="s">
        <v>182</v>
      </c>
      <c r="BA143" s="103" t="s">
        <v>321</v>
      </c>
      <c r="BB143" s="10">
        <v>284466</v>
      </c>
      <c r="BE143" s="70"/>
      <c r="BF143" s="249"/>
    </row>
    <row r="144" spans="51:58" ht="12.75">
      <c r="AY144" s="103" t="s">
        <v>146</v>
      </c>
      <c r="AZ144" s="103" t="s">
        <v>147</v>
      </c>
      <c r="BA144" s="103" t="s">
        <v>321</v>
      </c>
      <c r="BB144" s="10">
        <v>319933</v>
      </c>
      <c r="BE144" s="70"/>
      <c r="BF144" s="241"/>
    </row>
    <row r="145" spans="51:58" ht="12.75">
      <c r="AY145" s="103" t="s">
        <v>111</v>
      </c>
      <c r="AZ145" s="103" t="s">
        <v>112</v>
      </c>
      <c r="BA145" s="103" t="s">
        <v>321</v>
      </c>
      <c r="BB145" s="10">
        <v>192336</v>
      </c>
      <c r="BE145" s="248"/>
      <c r="BF145" s="249"/>
    </row>
    <row r="146" spans="51:58" ht="12.75">
      <c r="AY146" s="103" t="s">
        <v>237</v>
      </c>
      <c r="AZ146" s="103" t="s">
        <v>238</v>
      </c>
      <c r="BA146" s="103" t="s">
        <v>321</v>
      </c>
      <c r="BB146" s="10">
        <v>548313</v>
      </c>
      <c r="BF146" s="252"/>
    </row>
    <row r="147" spans="51:58" ht="12.75">
      <c r="AY147" s="103" t="s">
        <v>247</v>
      </c>
      <c r="AZ147" s="103" t="s">
        <v>248</v>
      </c>
      <c r="BA147" s="103" t="s">
        <v>321</v>
      </c>
      <c r="BB147" s="10">
        <v>287229</v>
      </c>
      <c r="BF147" s="252"/>
    </row>
    <row r="148" spans="51:58" ht="12.75">
      <c r="AY148" s="103" t="s">
        <v>222</v>
      </c>
      <c r="AZ148" s="103" t="s">
        <v>425</v>
      </c>
      <c r="BA148" s="103" t="s">
        <v>502</v>
      </c>
      <c r="BB148" s="10">
        <v>707573</v>
      </c>
      <c r="BF148" s="252"/>
    </row>
    <row r="149" spans="51:58" ht="12.75">
      <c r="AY149" s="103" t="s">
        <v>218</v>
      </c>
      <c r="AZ149" s="103" t="s">
        <v>219</v>
      </c>
      <c r="BA149" s="103" t="s">
        <v>502</v>
      </c>
      <c r="BB149" s="10">
        <v>825533</v>
      </c>
      <c r="BE149" s="248"/>
      <c r="BF149" s="249"/>
    </row>
    <row r="150" spans="51:58" ht="12.75">
      <c r="AY150" s="103" t="s">
        <v>196</v>
      </c>
      <c r="AZ150" s="103" t="s">
        <v>197</v>
      </c>
      <c r="BA150" s="103" t="s">
        <v>321</v>
      </c>
      <c r="BB150" s="10">
        <v>259945</v>
      </c>
      <c r="BF150" s="252"/>
    </row>
    <row r="151" spans="51:58" ht="12.75">
      <c r="AY151" s="103" t="s">
        <v>138</v>
      </c>
      <c r="AZ151" s="103" t="s">
        <v>139</v>
      </c>
      <c r="BA151" s="103" t="s">
        <v>321</v>
      </c>
      <c r="BB151" s="10">
        <v>246573</v>
      </c>
      <c r="BF151" s="252"/>
    </row>
    <row r="152" spans="51:58" ht="12.75">
      <c r="AY152" s="103" t="s">
        <v>266</v>
      </c>
      <c r="AZ152" s="103" t="s">
        <v>267</v>
      </c>
      <c r="BA152" s="103" t="s">
        <v>502</v>
      </c>
      <c r="BB152" s="10">
        <v>462395</v>
      </c>
      <c r="BE152" s="250"/>
      <c r="BF152" s="239"/>
    </row>
    <row r="153" spans="51:58" ht="12.75">
      <c r="AY153" s="103" t="s">
        <v>191</v>
      </c>
      <c r="AZ153" s="103" t="s">
        <v>192</v>
      </c>
      <c r="BA153" s="103" t="s">
        <v>321</v>
      </c>
      <c r="BB153" s="10">
        <v>332176</v>
      </c>
      <c r="BF153" s="252"/>
    </row>
    <row r="154" spans="51:58" ht="12.75">
      <c r="AY154" s="103" t="s">
        <v>161</v>
      </c>
      <c r="AZ154" s="103" t="s">
        <v>412</v>
      </c>
      <c r="BA154" s="103" t="s">
        <v>321</v>
      </c>
      <c r="BB154" s="10">
        <v>246213</v>
      </c>
      <c r="BE154" s="237"/>
      <c r="BF154" s="238"/>
    </row>
    <row r="155" spans="51:58" ht="12.75">
      <c r="AY155" s="103" t="s">
        <v>235</v>
      </c>
      <c r="AZ155" s="103" t="s">
        <v>236</v>
      </c>
      <c r="BA155" s="103" t="s">
        <v>502</v>
      </c>
      <c r="BB155" s="10">
        <v>571587</v>
      </c>
      <c r="BE155" s="70"/>
      <c r="BF155" s="239"/>
    </row>
    <row r="156" spans="51:58" ht="12.75">
      <c r="AY156" s="43"/>
      <c r="AZ156" s="43"/>
      <c r="BB156" s="105">
        <v>54615830</v>
      </c>
      <c r="BF156" s="252"/>
    </row>
    <row r="157" ht="12.75">
      <c r="BF157" s="252"/>
    </row>
    <row r="158" ht="12.75">
      <c r="BF158" s="252"/>
    </row>
    <row r="159" ht="12.75">
      <c r="BF159" s="252"/>
    </row>
    <row r="160" spans="57:58" ht="12.75">
      <c r="BE160" s="70"/>
      <c r="BF160" s="239"/>
    </row>
    <row r="161" spans="57:58" ht="12.75">
      <c r="BE161" s="70"/>
      <c r="BF161" s="241"/>
    </row>
    <row r="162" spans="57:58" ht="12.75">
      <c r="BE162" s="237"/>
      <c r="BF162" s="238"/>
    </row>
    <row r="163" spans="57:58" ht="12.75">
      <c r="BE163" s="70"/>
      <c r="BF163" s="239"/>
    </row>
    <row r="164" spans="57:58" ht="12.75">
      <c r="BE164" s="248"/>
      <c r="BF164" s="241"/>
    </row>
    <row r="165" ht="12.75">
      <c r="BF165" s="252"/>
    </row>
    <row r="166" spans="57:58" ht="12.75">
      <c r="BE166" s="70"/>
      <c r="BF166" s="249"/>
    </row>
    <row r="167" ht="12.75">
      <c r="BF167" s="252"/>
    </row>
    <row r="168" spans="57:58" ht="12.75">
      <c r="BE168" s="237"/>
      <c r="BF168" s="238"/>
    </row>
    <row r="169" spans="57:58" ht="12.75">
      <c r="BE169" s="237"/>
      <c r="BF169" s="238"/>
    </row>
    <row r="170" spans="57:58" ht="12.75">
      <c r="BE170" s="70"/>
      <c r="BF170" s="241"/>
    </row>
    <row r="171" spans="57:58" ht="12.75">
      <c r="BE171" s="70"/>
      <c r="BF171" s="239"/>
    </row>
    <row r="172" spans="57:58" ht="12.75">
      <c r="BE172" s="70"/>
      <c r="BF172" s="241"/>
    </row>
    <row r="173" spans="57:58" ht="12.75">
      <c r="BE173" s="70"/>
      <c r="BF173" s="239"/>
    </row>
    <row r="174" ht="12.75">
      <c r="BF174" s="252"/>
    </row>
    <row r="175" ht="12.75">
      <c r="BF175" s="252"/>
    </row>
    <row r="176" spans="57:58" ht="12.75">
      <c r="BE176" s="237"/>
      <c r="BF176" s="238"/>
    </row>
    <row r="177" spans="57:58" ht="12.75">
      <c r="BE177" s="237"/>
      <c r="BF177" s="238"/>
    </row>
    <row r="178" spans="57:58" ht="12.75">
      <c r="BE178" s="70"/>
      <c r="BF178" s="241"/>
    </row>
    <row r="179" ht="12.75">
      <c r="BF179" s="252"/>
    </row>
    <row r="180" spans="57:58" ht="12.75">
      <c r="BE180" s="247"/>
      <c r="BF180" s="249"/>
    </row>
    <row r="181" ht="12.75">
      <c r="BF181" s="252"/>
    </row>
    <row r="182" ht="12.75">
      <c r="BF182" s="252"/>
    </row>
    <row r="183" spans="57:58" ht="12.75">
      <c r="BE183" s="70"/>
      <c r="BF183" s="241"/>
    </row>
    <row r="184" spans="57:58" ht="12.75">
      <c r="BE184" s="70"/>
      <c r="BF184" s="241"/>
    </row>
    <row r="185" ht="12.75">
      <c r="BF185" s="252"/>
    </row>
    <row r="186" ht="12.75">
      <c r="BF186" s="252"/>
    </row>
    <row r="187" spans="57:58" ht="12.75">
      <c r="BE187" s="237"/>
      <c r="BF187" s="238"/>
    </row>
    <row r="188" ht="12.75">
      <c r="BF188" s="241"/>
    </row>
    <row r="189" ht="12.75">
      <c r="BF189" s="241"/>
    </row>
    <row r="190" spans="57:58" ht="12.75">
      <c r="BE190" s="237"/>
      <c r="BF190" s="238"/>
    </row>
    <row r="191" spans="57:58" ht="12.75">
      <c r="BE191" s="70"/>
      <c r="BF191" s="239"/>
    </row>
    <row r="192" spans="57:58" ht="12.75">
      <c r="BE192" s="70"/>
      <c r="BF192" s="239"/>
    </row>
    <row r="193" spans="57:58" ht="12.75">
      <c r="BE193" s="70"/>
      <c r="BF193" s="239"/>
    </row>
    <row r="194" spans="57:58" ht="12.75">
      <c r="BE194" s="70"/>
      <c r="BF194" s="239"/>
    </row>
    <row r="195" spans="57:58" ht="12.75">
      <c r="BE195" s="70"/>
      <c r="BF195" s="239"/>
    </row>
    <row r="196" spans="57:58" ht="12.75">
      <c r="BE196" s="70"/>
      <c r="BF196" s="239"/>
    </row>
    <row r="197" spans="57:58" ht="12.75">
      <c r="BE197" s="70"/>
      <c r="BF197" s="239"/>
    </row>
    <row r="198" ht="12.75">
      <c r="BF198" s="252"/>
    </row>
    <row r="199" spans="57:58" ht="12.75">
      <c r="BE199" s="70"/>
      <c r="BF199" s="241"/>
    </row>
    <row r="200" spans="57:58" ht="12.75">
      <c r="BE200" s="70"/>
      <c r="BF200" s="239"/>
    </row>
    <row r="201" ht="12.75">
      <c r="BF201" s="252"/>
    </row>
    <row r="202" ht="12.75">
      <c r="BF202" s="252"/>
    </row>
    <row r="203" ht="12.75">
      <c r="BF203" s="252"/>
    </row>
    <row r="204" ht="12.75">
      <c r="BF204" s="252"/>
    </row>
    <row r="205" spans="57:58" ht="12.75">
      <c r="BE205" s="70"/>
      <c r="BF205" s="239"/>
    </row>
    <row r="206" spans="57:58" ht="12.75">
      <c r="BE206" s="70"/>
      <c r="BF206" s="240"/>
    </row>
    <row r="207" spans="57:58" ht="12.75">
      <c r="BE207" s="237"/>
      <c r="BF207" s="242"/>
    </row>
    <row r="208" spans="57:58" ht="12.75">
      <c r="BE208" s="237"/>
      <c r="BF208" s="242"/>
    </row>
    <row r="209" spans="57:58" ht="12.75">
      <c r="BE209" s="237"/>
      <c r="BF209" s="242"/>
    </row>
    <row r="210" spans="57:58" ht="12.75">
      <c r="BE210" s="237"/>
      <c r="BF210" s="242"/>
    </row>
    <row r="211" spans="57:58" ht="12.75">
      <c r="BE211" s="237"/>
      <c r="BF211" s="242"/>
    </row>
    <row r="212" spans="57:58" ht="12.75">
      <c r="BE212" s="237"/>
      <c r="BF212" s="242"/>
    </row>
    <row r="213" spans="57:58" ht="12.75">
      <c r="BE213" s="237"/>
      <c r="BF213" s="238"/>
    </row>
    <row r="214" spans="57:58" ht="12.75">
      <c r="BE214" s="237"/>
      <c r="BF214" s="238"/>
    </row>
    <row r="215" spans="57:58" ht="12.75">
      <c r="BE215" s="237"/>
      <c r="BF215" s="238"/>
    </row>
    <row r="216" spans="57:58" ht="12.75">
      <c r="BE216" s="237"/>
      <c r="BF216" s="238"/>
    </row>
    <row r="217" spans="57:58" ht="12.75">
      <c r="BE217" s="237"/>
      <c r="BF217" s="238"/>
    </row>
    <row r="218" spans="57:58" ht="12.75">
      <c r="BE218" s="70"/>
      <c r="BF218" s="239"/>
    </row>
    <row r="219" spans="57:58" ht="12.75">
      <c r="BE219" s="70"/>
      <c r="BF219" s="239"/>
    </row>
    <row r="222" spans="57:58" ht="12.75">
      <c r="BE222" s="247"/>
      <c r="BF222" s="241"/>
    </row>
    <row r="223" spans="57:58" ht="12.75">
      <c r="BE223" s="247"/>
      <c r="BF223" s="241"/>
    </row>
    <row r="224" spans="57:58" ht="12.75">
      <c r="BE224" s="247"/>
      <c r="BF224" s="241"/>
    </row>
    <row r="225" spans="57:58" ht="12.75">
      <c r="BE225" s="70"/>
      <c r="BF225" s="241"/>
    </row>
    <row r="226" spans="57:58" ht="12.75">
      <c r="BE226" s="247"/>
      <c r="BF226" s="241"/>
    </row>
    <row r="229" spans="57:58" ht="12.75">
      <c r="BE229" s="247"/>
      <c r="BF229" s="247"/>
    </row>
    <row r="230" spans="57:58" ht="12.75">
      <c r="BE230" s="247"/>
      <c r="BF230" s="247"/>
    </row>
    <row r="231" spans="57:58" ht="12.75">
      <c r="BE231" s="247"/>
      <c r="BF231" s="247"/>
    </row>
    <row r="232" spans="57:58" ht="12.75">
      <c r="BE232" s="247"/>
      <c r="BF232" s="247"/>
    </row>
    <row r="233" spans="57:58" ht="12.75">
      <c r="BE233" s="247"/>
      <c r="BF233" s="247"/>
    </row>
    <row r="234" spans="57:58" ht="12.75">
      <c r="BE234" s="247"/>
      <c r="BF234" s="247"/>
    </row>
    <row r="235" spans="57:58" ht="12.75">
      <c r="BE235" s="248"/>
      <c r="BF235" s="249"/>
    </row>
    <row r="236" spans="57:58" ht="12.75">
      <c r="BE236" s="247"/>
      <c r="BF236" s="249"/>
    </row>
    <row r="237" spans="57:58" ht="12.75">
      <c r="BE237" s="247"/>
      <c r="BF237" s="249"/>
    </row>
    <row r="238" spans="57:58" ht="12.75">
      <c r="BE238" s="247"/>
      <c r="BF238" s="249"/>
    </row>
    <row r="240" ht="12.75">
      <c r="BF240" s="252"/>
    </row>
    <row r="241" ht="12.75">
      <c r="BF241" s="252"/>
    </row>
    <row r="244" ht="12.75">
      <c r="BF244" s="252"/>
    </row>
    <row r="250" ht="12.75">
      <c r="BF250" s="252"/>
    </row>
    <row r="251" ht="12.75">
      <c r="BF251" s="252"/>
    </row>
    <row r="252" ht="12.75">
      <c r="BF252" s="252"/>
    </row>
    <row r="254" spans="57:58" ht="12.75">
      <c r="BE254" s="70"/>
      <c r="BF254" s="240"/>
    </row>
    <row r="255" spans="57:58" ht="12.75">
      <c r="BE255" s="70"/>
      <c r="BF255" s="240"/>
    </row>
    <row r="256" spans="57:58" ht="12.75">
      <c r="BE256" s="70"/>
      <c r="BF256" s="240"/>
    </row>
    <row r="257" spans="57:58" ht="12.75">
      <c r="BE257" s="70"/>
      <c r="BF257" s="240"/>
    </row>
    <row r="258" spans="57:58" ht="12.75">
      <c r="BE258" s="70"/>
      <c r="BF258" s="239"/>
    </row>
    <row r="259" spans="57:58" ht="12.75">
      <c r="BE259" s="70"/>
      <c r="BF259" s="240"/>
    </row>
    <row r="260" spans="57:58" ht="12.75">
      <c r="BE260" s="70"/>
      <c r="BF260" s="239"/>
    </row>
    <row r="261" spans="57:58" ht="12.75">
      <c r="BE261" s="70"/>
      <c r="BF261" s="239"/>
    </row>
    <row r="262" spans="57:58" ht="12.75">
      <c r="BE262" s="70"/>
      <c r="BF262" s="239"/>
    </row>
    <row r="263" spans="57:58" ht="12.75">
      <c r="BE263" s="70"/>
      <c r="BF263" s="239"/>
    </row>
    <row r="264" spans="57:58" ht="12.75">
      <c r="BE264" s="70"/>
      <c r="BF264" s="239"/>
    </row>
    <row r="265" spans="57:58" ht="12.75">
      <c r="BE265" s="70"/>
      <c r="BF265" s="239"/>
    </row>
    <row r="266" spans="57:58" ht="12.75">
      <c r="BE266" s="70"/>
      <c r="BF266" s="239"/>
    </row>
    <row r="267" spans="57:58" ht="12.75">
      <c r="BE267" s="70"/>
      <c r="BF267" s="239"/>
    </row>
    <row r="268" spans="57:58" ht="12.75">
      <c r="BE268" s="70"/>
      <c r="BF268" s="239"/>
    </row>
    <row r="269" spans="57:58" ht="12.75">
      <c r="BE269" s="70"/>
      <c r="BF269" s="239"/>
    </row>
    <row r="270" spans="57:58" ht="12.75">
      <c r="BE270" s="70"/>
      <c r="BF270" s="239"/>
    </row>
    <row r="271" spans="57:58" ht="12.75">
      <c r="BE271" s="70"/>
      <c r="BF271" s="239"/>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
        <v>506</v>
      </c>
      <c r="B3" s="56" t="s">
        <v>197</v>
      </c>
      <c r="C3" s="56" t="s">
        <v>24</v>
      </c>
    </row>
    <row r="4" spans="1:2" ht="12.75">
      <c r="A4" s="76">
        <v>1</v>
      </c>
      <c r="B4" s="78" t="s">
        <v>196</v>
      </c>
    </row>
    <row r="5" ht="12.75">
      <c r="A5" s="280" t="s">
        <v>506</v>
      </c>
    </row>
    <row r="6" ht="12.75">
      <c r="A6" s="280" t="s">
        <v>515</v>
      </c>
    </row>
    <row r="7" ht="12.75">
      <c r="A7" s="280" t="s">
        <v>508</v>
      </c>
    </row>
    <row r="8" ht="12.75">
      <c r="A8" s="280" t="s">
        <v>553</v>
      </c>
    </row>
    <row r="9" ht="12.75">
      <c r="A9" s="280" t="s">
        <v>538</v>
      </c>
    </row>
    <row r="10" ht="12.75">
      <c r="A10" s="280" t="s">
        <v>523</v>
      </c>
    </row>
    <row r="11" ht="12.75">
      <c r="A11" s="280" t="s">
        <v>509</v>
      </c>
    </row>
    <row r="12" ht="12.75">
      <c r="A12" s="280" t="s">
        <v>507</v>
      </c>
    </row>
    <row r="13" ht="12.75">
      <c r="A13" s="280" t="s">
        <v>531</v>
      </c>
    </row>
    <row r="14" ht="12.75">
      <c r="A14" s="280" t="s">
        <v>525</v>
      </c>
    </row>
    <row r="15" ht="12.75">
      <c r="A15" s="280" t="s">
        <v>535</v>
      </c>
    </row>
    <row r="16" ht="12.75">
      <c r="A16" s="280" t="s">
        <v>533</v>
      </c>
    </row>
    <row r="17" ht="12.75">
      <c r="A17" s="280" t="s">
        <v>516</v>
      </c>
    </row>
    <row r="18" ht="12.75">
      <c r="A18" s="280" t="s">
        <v>537</v>
      </c>
    </row>
    <row r="19" ht="12.75">
      <c r="A19" s="280" t="s">
        <v>519</v>
      </c>
    </row>
    <row r="20" ht="12.75">
      <c r="A20" s="280" t="s">
        <v>522</v>
      </c>
    </row>
    <row r="21" ht="12.75">
      <c r="A21" s="280" t="s">
        <v>536</v>
      </c>
    </row>
    <row r="22" ht="12.75">
      <c r="A22" s="280" t="s">
        <v>534</v>
      </c>
    </row>
    <row r="23" ht="12.75">
      <c r="A23" s="280" t="s">
        <v>517</v>
      </c>
    </row>
    <row r="24" ht="12.75">
      <c r="A24" s="280" t="s">
        <v>511</v>
      </c>
    </row>
    <row r="25" ht="12.75">
      <c r="A25" s="280" t="s">
        <v>521</v>
      </c>
    </row>
    <row r="26" ht="12.75">
      <c r="A26" s="280" t="s">
        <v>528</v>
      </c>
    </row>
    <row r="27" ht="12.75">
      <c r="A27" s="280" t="s">
        <v>518</v>
      </c>
    </row>
    <row r="28" ht="12.75">
      <c r="A28" s="280" t="s">
        <v>527</v>
      </c>
    </row>
    <row r="29" ht="12.75">
      <c r="A29" s="280" t="s">
        <v>530</v>
      </c>
    </row>
    <row r="30" ht="12.75">
      <c r="A30" s="280" t="s">
        <v>514</v>
      </c>
    </row>
    <row r="31" ht="12.75">
      <c r="A31" s="280" t="s">
        <v>513</v>
      </c>
    </row>
    <row r="32" ht="12.75">
      <c r="A32" s="280" t="s">
        <v>510</v>
      </c>
    </row>
    <row r="33" ht="12.75">
      <c r="A33" s="280" t="s">
        <v>541</v>
      </c>
    </row>
    <row r="34" ht="12.75">
      <c r="A34" s="280" t="s">
        <v>540</v>
      </c>
    </row>
    <row r="35" ht="12.75">
      <c r="A35" s="280" t="s">
        <v>532</v>
      </c>
    </row>
    <row r="36" ht="12.75">
      <c r="A36" s="280" t="s">
        <v>529</v>
      </c>
    </row>
    <row r="37" ht="12.75">
      <c r="A37" s="280" t="s">
        <v>542</v>
      </c>
    </row>
    <row r="38" ht="12.75">
      <c r="A38" s="280" t="s">
        <v>539</v>
      </c>
    </row>
    <row r="39" ht="12.75">
      <c r="A39" s="280" t="s">
        <v>524</v>
      </c>
    </row>
    <row r="40" ht="12.75">
      <c r="A40" s="280" t="s">
        <v>512</v>
      </c>
    </row>
    <row r="41" ht="12.75">
      <c r="A41" s="280" t="s">
        <v>526</v>
      </c>
    </row>
    <row r="42" ht="12.75">
      <c r="A42" s="280" t="s">
        <v>520</v>
      </c>
    </row>
    <row r="43" ht="12.75">
      <c r="A43" s="280"/>
    </row>
    <row r="44" ht="12.75">
      <c r="A44" s="280"/>
    </row>
    <row r="45" ht="12.75">
      <c r="A45" s="280"/>
    </row>
    <row r="46" ht="12.75">
      <c r="A46" s="280"/>
    </row>
    <row r="47" ht="12.75">
      <c r="A47" s="280"/>
    </row>
    <row r="48" ht="12.75">
      <c r="A48" s="280"/>
    </row>
    <row r="49" ht="12.75">
      <c r="A49" s="280"/>
    </row>
    <row r="50" ht="12.75">
      <c r="A50" s="280"/>
    </row>
    <row r="51" ht="12.75">
      <c r="A51" s="280"/>
    </row>
    <row r="52" ht="12.75">
      <c r="A52" s="280"/>
    </row>
    <row r="53" ht="12.75">
      <c r="A53" s="280"/>
    </row>
    <row r="54" ht="12.75">
      <c r="A54" s="280"/>
    </row>
    <row r="55" ht="12.75">
      <c r="A55" s="280"/>
    </row>
    <row r="56" ht="12.75">
      <c r="A56" s="280"/>
    </row>
    <row r="57" ht="12.75">
      <c r="A57" s="280"/>
    </row>
    <row r="58" ht="12.75">
      <c r="A58" s="280"/>
    </row>
    <row r="59" ht="12.75">
      <c r="A59" s="280"/>
    </row>
    <row r="60" ht="12.75">
      <c r="A60" s="280"/>
    </row>
    <row r="61" ht="12.75">
      <c r="A61" s="280"/>
    </row>
    <row r="62" ht="12.75">
      <c r="A62" s="280"/>
    </row>
    <row r="63" ht="12.75">
      <c r="A63" s="280"/>
    </row>
    <row r="64" ht="12.75">
      <c r="A64" s="280"/>
    </row>
    <row r="65" ht="12.75">
      <c r="A65" s="280"/>
    </row>
    <row r="66" ht="12.75">
      <c r="A66" s="280"/>
    </row>
    <row r="67" ht="12.75">
      <c r="A67" s="280"/>
    </row>
    <row r="68" ht="12.75">
      <c r="A68" s="280"/>
    </row>
    <row r="69" ht="12.75">
      <c r="A69" s="280"/>
    </row>
    <row r="70" ht="12.75">
      <c r="A70" s="280"/>
    </row>
    <row r="71" ht="12.75">
      <c r="A71" s="280"/>
    </row>
    <row r="72" ht="12.75">
      <c r="A72" s="280"/>
    </row>
    <row r="73" ht="12.75">
      <c r="A73" s="280"/>
    </row>
    <row r="74" ht="12.75">
      <c r="A74" s="280"/>
    </row>
    <row r="75" ht="12.75">
      <c r="A75" s="280"/>
    </row>
    <row r="76" ht="12.75">
      <c r="A76" s="280"/>
    </row>
    <row r="77" ht="12.75">
      <c r="A77" s="280"/>
    </row>
    <row r="78" ht="12.75">
      <c r="A78" s="280"/>
    </row>
    <row r="79" ht="12.75">
      <c r="A79" s="280"/>
    </row>
    <row r="80" ht="12.75">
      <c r="A80" s="280"/>
    </row>
    <row r="81" ht="12.75">
      <c r="A81" s="280"/>
    </row>
    <row r="82" ht="12.75">
      <c r="A82" s="280"/>
    </row>
    <row r="83" ht="12.75">
      <c r="A83" s="280"/>
    </row>
    <row r="84" ht="12.75">
      <c r="A84" s="280"/>
    </row>
    <row r="85" ht="12.75">
      <c r="A85" s="280"/>
    </row>
    <row r="86" ht="12.75">
      <c r="A86" s="280"/>
    </row>
    <row r="87" ht="12.75">
      <c r="A87" s="280"/>
    </row>
    <row r="88" ht="12.75">
      <c r="A88" s="280"/>
    </row>
    <row r="89" ht="12.75">
      <c r="A89" s="280"/>
    </row>
    <row r="90" ht="12.75">
      <c r="A90" s="280"/>
    </row>
    <row r="91" ht="12.75">
      <c r="A91" s="280"/>
    </row>
    <row r="92" ht="12.75">
      <c r="A92" s="280"/>
    </row>
    <row r="93" ht="12.75">
      <c r="A93" s="280"/>
    </row>
    <row r="94" ht="12.75">
      <c r="A94" s="280"/>
    </row>
    <row r="95" ht="12.75">
      <c r="A95" s="280"/>
    </row>
    <row r="96" ht="12.75">
      <c r="A96" s="280"/>
    </row>
    <row r="97" ht="12.75">
      <c r="A97" s="280"/>
    </row>
    <row r="98" ht="12.75">
      <c r="A98" s="280"/>
    </row>
    <row r="99" ht="12.75">
      <c r="A99" s="280"/>
    </row>
    <row r="100" ht="12.75">
      <c r="A100" s="280"/>
    </row>
    <row r="101" ht="12.75">
      <c r="A101" s="280"/>
    </row>
    <row r="102" ht="12.75">
      <c r="A102" s="280"/>
    </row>
    <row r="103" ht="12.75">
      <c r="A103" s="280"/>
    </row>
    <row r="104" ht="12.75">
      <c r="A104" s="280"/>
    </row>
    <row r="105" ht="12.75">
      <c r="A105" s="280"/>
    </row>
    <row r="106" ht="12.75">
      <c r="A106" s="280"/>
    </row>
    <row r="107" ht="12.75">
      <c r="A107" s="280"/>
    </row>
    <row r="108" ht="12.75">
      <c r="A108" s="280"/>
    </row>
    <row r="109" ht="12.75">
      <c r="A109" s="280"/>
    </row>
    <row r="110" ht="12.75">
      <c r="A110" s="280"/>
    </row>
    <row r="111" ht="12.75">
      <c r="A111" s="280"/>
    </row>
    <row r="141" ht="12.75">
      <c r="A141" s="281"/>
    </row>
    <row r="196" ht="12.75">
      <c r="A196" s="281"/>
    </row>
    <row r="197" ht="12.75">
      <c r="A197" s="281"/>
    </row>
    <row r="198" ht="12.75">
      <c r="A198" s="281"/>
    </row>
    <row r="199" ht="12.75">
      <c r="A199" s="281"/>
    </row>
    <row r="200" ht="12.75">
      <c r="A200" s="281"/>
    </row>
    <row r="201" ht="12.75">
      <c r="A201" s="281"/>
    </row>
    <row r="202" ht="12.75">
      <c r="A202" s="281"/>
    </row>
    <row r="203" ht="12.75">
      <c r="A203" s="281"/>
    </row>
    <row r="204" ht="12.75">
      <c r="A204" s="281"/>
    </row>
    <row r="205" ht="12.75">
      <c r="A205" s="281"/>
    </row>
    <row r="206" ht="12.75">
      <c r="A206" s="281"/>
    </row>
    <row r="207" ht="12.75">
      <c r="A207" s="281"/>
    </row>
    <row r="208" ht="12.75">
      <c r="A208" s="281"/>
    </row>
    <row r="209" ht="12.75">
      <c r="A209" s="281"/>
    </row>
    <row r="210" ht="12.75">
      <c r="A210" s="281"/>
    </row>
    <row r="211" ht="12.75">
      <c r="A211" s="281"/>
    </row>
    <row r="212" ht="12.75">
      <c r="A212" s="281"/>
    </row>
    <row r="213" ht="12.75">
      <c r="A213" s="281"/>
    </row>
    <row r="214" ht="12.75">
      <c r="A214" s="281"/>
    </row>
    <row r="215" ht="12.75">
      <c r="A215" s="281"/>
    </row>
    <row r="216" ht="12.75">
      <c r="A216" s="281"/>
    </row>
    <row r="217" ht="12.75">
      <c r="A217" s="281"/>
    </row>
    <row r="218" ht="12.75">
      <c r="A218" s="281"/>
    </row>
    <row r="219" ht="12.75">
      <c r="A219" s="281"/>
    </row>
    <row r="220" ht="12.75">
      <c r="A220" s="281"/>
    </row>
    <row r="221" ht="12.75">
      <c r="A221" s="281"/>
    </row>
    <row r="222" ht="12.75">
      <c r="A222" s="281"/>
    </row>
    <row r="223" ht="12.75">
      <c r="A223" s="281"/>
    </row>
    <row r="224" ht="12.75">
      <c r="A224" s="281"/>
    </row>
    <row r="225" ht="12.75">
      <c r="A225" s="281"/>
    </row>
    <row r="226" ht="12.75">
      <c r="A226" s="281"/>
    </row>
    <row r="227" ht="12.75">
      <c r="A227" s="281"/>
    </row>
    <row r="228" ht="12.75">
      <c r="A228" s="281"/>
    </row>
    <row r="229" ht="12.75">
      <c r="A229" s="281"/>
    </row>
    <row r="230" ht="12.75">
      <c r="A230" s="281"/>
    </row>
    <row r="231" ht="12.75">
      <c r="A231" s="281"/>
    </row>
    <row r="232" ht="12.75">
      <c r="A232" s="281"/>
    </row>
    <row r="233" ht="12.75">
      <c r="A233" s="281"/>
    </row>
    <row r="234" ht="12.75">
      <c r="A234" s="281"/>
    </row>
    <row r="235" ht="12.75">
      <c r="A235" s="281"/>
    </row>
    <row r="236" ht="12.75">
      <c r="A236" s="281"/>
    </row>
    <row r="237" ht="12.75">
      <c r="A237" s="281"/>
    </row>
    <row r="238" ht="12.75">
      <c r="A238" s="281"/>
    </row>
    <row r="239" ht="12.75">
      <c r="A239" s="281"/>
    </row>
    <row r="240" ht="12.75">
      <c r="A240" s="281"/>
    </row>
    <row r="241" ht="12.75">
      <c r="A241" s="281"/>
    </row>
    <row r="242" ht="12.75">
      <c r="A242" s="281"/>
    </row>
    <row r="243" ht="12.75">
      <c r="A243" s="281"/>
    </row>
    <row r="244" ht="12.75">
      <c r="A244" s="281"/>
    </row>
    <row r="245" ht="12.75">
      <c r="A245" s="281"/>
    </row>
    <row r="246" ht="12.75">
      <c r="A246" s="281"/>
    </row>
    <row r="247" ht="12.75">
      <c r="A247" s="281"/>
    </row>
    <row r="248" ht="12.75">
      <c r="A248" s="281"/>
    </row>
    <row r="249" ht="12.75">
      <c r="A249" s="281"/>
    </row>
    <row r="250" ht="12.75">
      <c r="A250" s="281"/>
    </row>
    <row r="251" ht="12.75">
      <c r="A251" s="281"/>
    </row>
    <row r="252" ht="12.75">
      <c r="A252" s="281"/>
    </row>
    <row r="253" ht="12.75">
      <c r="A253" s="281"/>
    </row>
    <row r="254" ht="12.75">
      <c r="A254" s="281"/>
    </row>
    <row r="255" ht="12.75">
      <c r="A255" s="281"/>
    </row>
    <row r="256" ht="12.75">
      <c r="A256" s="282"/>
    </row>
    <row r="257" ht="12.75">
      <c r="A257" s="281"/>
    </row>
    <row r="258" ht="12.75">
      <c r="A258" s="281"/>
    </row>
    <row r="259" ht="12.75">
      <c r="A259" s="281"/>
    </row>
    <row r="260" ht="12.75">
      <c r="A260" s="281"/>
    </row>
    <row r="261" ht="12.75">
      <c r="A261" s="281"/>
    </row>
    <row r="262" ht="12.75">
      <c r="A262" s="281"/>
    </row>
    <row r="263" ht="12.75">
      <c r="A263" s="281"/>
    </row>
    <row r="264" ht="12.75">
      <c r="A264" s="281"/>
    </row>
    <row r="265" ht="12.75">
      <c r="A265" s="281"/>
    </row>
    <row r="266" ht="12.75">
      <c r="A266" s="281"/>
    </row>
    <row r="267" ht="12.75">
      <c r="A267" s="281"/>
    </row>
    <row r="268" ht="12.75">
      <c r="A268" s="281"/>
    </row>
    <row r="269" ht="12.75">
      <c r="A269" s="281"/>
    </row>
    <row r="270" ht="12.75">
      <c r="A270" s="281"/>
    </row>
    <row r="271" ht="12.75">
      <c r="A271" s="281"/>
    </row>
    <row r="272" ht="12.75">
      <c r="A272" s="281"/>
    </row>
    <row r="273" ht="12.75">
      <c r="A273" s="281"/>
    </row>
    <row r="274" ht="12.75">
      <c r="A274" s="281"/>
    </row>
    <row r="275" ht="12.75">
      <c r="A275" s="281"/>
    </row>
    <row r="276" ht="12.75">
      <c r="A276" s="281"/>
    </row>
    <row r="277" ht="12.75">
      <c r="A277" s="281"/>
    </row>
    <row r="278" ht="12.75">
      <c r="A278" s="281"/>
    </row>
    <row r="279" ht="12.75">
      <c r="A279" s="281"/>
    </row>
    <row r="280" ht="12.75">
      <c r="A280" s="281"/>
    </row>
    <row r="281" ht="12.75">
      <c r="A281" s="281"/>
    </row>
    <row r="282" ht="12.75">
      <c r="A282" s="281"/>
    </row>
    <row r="283" ht="12.75">
      <c r="A283" s="281"/>
    </row>
    <row r="284" ht="12.75">
      <c r="A284" s="281"/>
    </row>
    <row r="285" ht="12.75">
      <c r="A285" s="281"/>
    </row>
    <row r="286" ht="12.75">
      <c r="A286" s="281"/>
    </row>
    <row r="287" ht="12.75">
      <c r="A287" s="281"/>
    </row>
    <row r="288" ht="12.75">
      <c r="A288" s="281"/>
    </row>
    <row r="289" ht="12.75">
      <c r="A289" s="281"/>
    </row>
    <row r="290" ht="12.75">
      <c r="A290" s="281"/>
    </row>
    <row r="291" ht="12.75">
      <c r="A291" s="281"/>
    </row>
    <row r="292" ht="12.75">
      <c r="A292" s="281"/>
    </row>
    <row r="293" ht="12.75">
      <c r="A293" s="281"/>
    </row>
    <row r="294" ht="12.75">
      <c r="A294" s="281"/>
    </row>
    <row r="295" ht="12.75">
      <c r="A295" s="281"/>
    </row>
    <row r="296" ht="12.75">
      <c r="A296" s="281"/>
    </row>
    <row r="297" ht="12.75">
      <c r="A297" s="281"/>
    </row>
    <row r="298" ht="12.75">
      <c r="A298" s="281"/>
    </row>
    <row r="299" ht="12.75">
      <c r="A299" s="281"/>
    </row>
    <row r="300" ht="12.75">
      <c r="A300" s="281"/>
    </row>
    <row r="301" ht="12.75">
      <c r="A301" s="281"/>
    </row>
    <row r="302" ht="12.75">
      <c r="A302" s="281"/>
    </row>
    <row r="303" ht="12.75">
      <c r="A303" s="281"/>
    </row>
    <row r="304" ht="12.75">
      <c r="A304" s="281"/>
    </row>
    <row r="305" ht="12.75">
      <c r="A305" s="281"/>
    </row>
    <row r="306" ht="12.75">
      <c r="A306" s="281"/>
    </row>
    <row r="307" ht="12.75">
      <c r="A307" s="281"/>
    </row>
    <row r="308" ht="12.75">
      <c r="A308" s="281"/>
    </row>
    <row r="309" ht="12.75">
      <c r="A309" s="283"/>
    </row>
    <row r="310" ht="12.75">
      <c r="A310" s="281"/>
    </row>
    <row r="311" ht="12.75">
      <c r="A311" s="281"/>
    </row>
    <row r="312" ht="12.75">
      <c r="A312" s="281"/>
    </row>
    <row r="313" ht="12.75">
      <c r="A313" s="281"/>
    </row>
    <row r="314" ht="12.75">
      <c r="A314" s="281"/>
    </row>
    <row r="315" ht="12.75">
      <c r="A315" s="281"/>
    </row>
    <row r="316" ht="12.75">
      <c r="A316" s="281"/>
    </row>
    <row r="317" ht="12.75">
      <c r="A317" s="281"/>
    </row>
    <row r="318" ht="12.75">
      <c r="A318" s="281"/>
    </row>
    <row r="319" ht="12.75">
      <c r="A319" s="281"/>
    </row>
    <row r="320" ht="12.75">
      <c r="A320" s="281"/>
    </row>
    <row r="321" ht="12.75">
      <c r="A321" s="281"/>
    </row>
    <row r="322" ht="12.75">
      <c r="A322" s="281"/>
    </row>
    <row r="323" ht="12.75">
      <c r="A323" s="281"/>
    </row>
    <row r="324" ht="12.75">
      <c r="A324" s="281"/>
    </row>
    <row r="325" ht="12.75">
      <c r="A325" s="281"/>
    </row>
    <row r="326" ht="12.75">
      <c r="A326" s="281"/>
    </row>
    <row r="327" ht="12.75">
      <c r="A327" s="281"/>
    </row>
    <row r="328" ht="12.75">
      <c r="A328" s="281"/>
    </row>
    <row r="329" ht="12.75">
      <c r="A329" s="281"/>
    </row>
    <row r="330" ht="12.75">
      <c r="A330" s="281"/>
    </row>
    <row r="331" ht="12.75">
      <c r="A331" s="281"/>
    </row>
    <row r="332" ht="12.75">
      <c r="A332" s="281"/>
    </row>
    <row r="333" ht="12.75">
      <c r="A333" s="281"/>
    </row>
    <row r="334" ht="12.75">
      <c r="A334" s="281"/>
    </row>
    <row r="335" ht="12.75">
      <c r="A335" s="281"/>
    </row>
    <row r="336" ht="12.75">
      <c r="A336" s="281"/>
    </row>
    <row r="337" ht="12.75">
      <c r="A337" s="281"/>
    </row>
    <row r="338" ht="12.75">
      <c r="A338" s="281"/>
    </row>
    <row r="339" ht="12.75">
      <c r="A339" s="281"/>
    </row>
    <row r="340" ht="12.75">
      <c r="A340" s="281"/>
    </row>
    <row r="341" ht="12.75">
      <c r="A341" s="281"/>
    </row>
    <row r="342" ht="12.75">
      <c r="A342" s="281"/>
    </row>
    <row r="343" ht="12.75">
      <c r="A343" s="281"/>
    </row>
    <row r="344" ht="12.75">
      <c r="A344" s="281"/>
    </row>
    <row r="345" ht="12.75">
      <c r="A345" s="281"/>
    </row>
    <row r="346" ht="12.75">
      <c r="A346" s="281"/>
    </row>
    <row r="347" ht="12.75">
      <c r="A347" s="281"/>
    </row>
    <row r="348" ht="12.75">
      <c r="A348" s="281"/>
    </row>
    <row r="349" ht="12.75">
      <c r="A349" s="281"/>
    </row>
    <row r="350" ht="12.75">
      <c r="A350" s="281"/>
    </row>
    <row r="351" ht="12.75">
      <c r="A351" s="281"/>
    </row>
    <row r="352" ht="12.75">
      <c r="A352" s="281"/>
    </row>
    <row r="353" ht="12.75">
      <c r="A353" s="281"/>
    </row>
    <row r="354" ht="12.75">
      <c r="A354" s="281"/>
    </row>
    <row r="355" ht="12.75">
      <c r="A355" s="281"/>
    </row>
    <row r="356" ht="12.75">
      <c r="A356" s="281"/>
    </row>
    <row r="357" ht="12.75">
      <c r="A357" s="281"/>
    </row>
    <row r="358" ht="12.75">
      <c r="A358" s="281"/>
    </row>
    <row r="359" ht="12.75">
      <c r="A359" s="281"/>
    </row>
    <row r="360" ht="12.75">
      <c r="A360" s="281"/>
    </row>
    <row r="361" ht="12.75">
      <c r="A361" s="281"/>
    </row>
    <row r="362" ht="12.75">
      <c r="A362" s="281"/>
    </row>
    <row r="363" ht="12.75">
      <c r="A363" s="281"/>
    </row>
    <row r="364" ht="12.75">
      <c r="A364" s="281"/>
    </row>
    <row r="365" ht="12.75">
      <c r="A365" s="281"/>
    </row>
    <row r="366" ht="12.75">
      <c r="A366" s="281"/>
    </row>
    <row r="367" ht="12.75">
      <c r="A367" s="281"/>
    </row>
    <row r="368" ht="12.75">
      <c r="A368" s="281"/>
    </row>
    <row r="369" ht="12.75">
      <c r="A369" s="281"/>
    </row>
    <row r="370" ht="12.75">
      <c r="A370" s="281"/>
    </row>
    <row r="371" ht="12.75">
      <c r="A371" s="281"/>
    </row>
    <row r="372" ht="12.75">
      <c r="A372" s="281"/>
    </row>
    <row r="373" ht="12.75">
      <c r="A373" s="281"/>
    </row>
    <row r="374" ht="12.75">
      <c r="A374" s="281"/>
    </row>
    <row r="375" ht="12.75">
      <c r="A375" s="281"/>
    </row>
    <row r="376" ht="12.75">
      <c r="A376" s="281"/>
    </row>
    <row r="377" ht="12.75">
      <c r="A377" s="281"/>
    </row>
    <row r="378" ht="12.75">
      <c r="A378" s="281"/>
    </row>
    <row r="379" ht="12.75">
      <c r="A379" s="281"/>
    </row>
    <row r="380" ht="12.75">
      <c r="A380" s="281"/>
    </row>
    <row r="381" ht="12.75">
      <c r="A381" s="281"/>
    </row>
    <row r="382" ht="12.75">
      <c r="A382" s="281"/>
    </row>
    <row r="383" ht="12.75">
      <c r="A383" s="281"/>
    </row>
    <row r="384" ht="12.75">
      <c r="A384" s="281"/>
    </row>
    <row r="385" ht="12.75">
      <c r="A385" s="281"/>
    </row>
    <row r="386" ht="12.75">
      <c r="A386" s="281"/>
    </row>
    <row r="387" ht="12.75">
      <c r="A387" s="281"/>
    </row>
    <row r="388" ht="12.75">
      <c r="A388" s="281"/>
    </row>
    <row r="389" ht="12.75">
      <c r="A389" s="281"/>
    </row>
    <row r="390" ht="12.75">
      <c r="A390" s="281"/>
    </row>
    <row r="391" ht="12.75">
      <c r="A391" s="281"/>
    </row>
    <row r="392" ht="12.75">
      <c r="A392" s="281"/>
    </row>
    <row r="393" ht="12.75">
      <c r="A393" s="281"/>
    </row>
    <row r="394" ht="12.75">
      <c r="A394" s="281"/>
    </row>
    <row r="395" ht="12.75">
      <c r="A395" s="281"/>
    </row>
    <row r="396" ht="12.75">
      <c r="A396" s="281"/>
    </row>
    <row r="397" ht="12.75">
      <c r="A397" s="281"/>
    </row>
    <row r="398" ht="12.75">
      <c r="A398" s="281"/>
    </row>
    <row r="399" ht="12.75">
      <c r="A399" s="281"/>
    </row>
    <row r="400" ht="12.75">
      <c r="A400" s="281"/>
    </row>
    <row r="401" ht="12.75">
      <c r="A401" s="281"/>
    </row>
    <row r="402" ht="12.75">
      <c r="A402" s="281"/>
    </row>
    <row r="403" ht="12.75">
      <c r="A403" s="281"/>
    </row>
    <row r="404" ht="12.75">
      <c r="A404" s="281"/>
    </row>
    <row r="405" ht="12.75">
      <c r="A405" s="281"/>
    </row>
    <row r="406" ht="12.75">
      <c r="A406" s="281"/>
    </row>
    <row r="407" ht="12.75">
      <c r="A407" s="281"/>
    </row>
    <row r="408" ht="12.75">
      <c r="A408" s="281"/>
    </row>
    <row r="409" ht="12.75">
      <c r="A409" s="281"/>
    </row>
    <row r="410" ht="12.75">
      <c r="A410" s="281"/>
    </row>
    <row r="411" ht="12.75">
      <c r="A411" s="281"/>
    </row>
    <row r="412" ht="12.75">
      <c r="A412" s="281"/>
    </row>
    <row r="413" ht="12.75">
      <c r="A413" s="281"/>
    </row>
    <row r="414" ht="12.75">
      <c r="A414" s="281"/>
    </row>
    <row r="415" ht="12.75">
      <c r="A415" s="281"/>
    </row>
    <row r="416" ht="12.75">
      <c r="A416" s="281"/>
    </row>
    <row r="417" ht="12.75">
      <c r="A417" s="281"/>
    </row>
    <row r="418" ht="12.75">
      <c r="A418" s="281"/>
    </row>
    <row r="419" ht="12.75">
      <c r="A419" s="281"/>
    </row>
    <row r="420" ht="12.75">
      <c r="A420" s="281"/>
    </row>
    <row r="421" ht="12.75">
      <c r="A421" s="281"/>
    </row>
    <row r="422" ht="12.75">
      <c r="A422" s="281"/>
    </row>
    <row r="423" ht="12.75">
      <c r="A423" s="281"/>
    </row>
    <row r="424" ht="12.75">
      <c r="A424" s="281"/>
    </row>
    <row r="425" ht="12.75">
      <c r="A425" s="281"/>
    </row>
    <row r="426" ht="12.75">
      <c r="A426" s="281"/>
    </row>
    <row r="427" ht="12.75">
      <c r="A427" s="281"/>
    </row>
    <row r="428" ht="12.75">
      <c r="A428" s="281"/>
    </row>
    <row r="429" ht="12.75">
      <c r="A429" s="281"/>
    </row>
    <row r="430" ht="12.75">
      <c r="A430" s="281"/>
    </row>
    <row r="431" ht="12.75">
      <c r="A431" s="281"/>
    </row>
    <row r="432" ht="12.75">
      <c r="A432" s="281"/>
    </row>
    <row r="433" ht="12.75">
      <c r="A433" s="281"/>
    </row>
    <row r="434" ht="12.75">
      <c r="A434" s="281"/>
    </row>
    <row r="435" ht="12.75">
      <c r="A435" s="281"/>
    </row>
    <row r="436" ht="12.75">
      <c r="A436" s="281"/>
    </row>
    <row r="437" ht="12.75">
      <c r="A437" s="281"/>
    </row>
    <row r="438" ht="12.75">
      <c r="A438" s="281"/>
    </row>
    <row r="439" ht="12.75">
      <c r="A439" s="281"/>
    </row>
    <row r="440" ht="12.75">
      <c r="A440" s="281"/>
    </row>
    <row r="441" ht="12.75">
      <c r="A441" s="281"/>
    </row>
    <row r="442" ht="12.75">
      <c r="A442" s="281"/>
    </row>
    <row r="443" ht="12.75">
      <c r="A443" s="281"/>
    </row>
    <row r="444" ht="12.75">
      <c r="A444" s="281"/>
    </row>
    <row r="445" ht="12.75">
      <c r="A445" s="281"/>
    </row>
    <row r="446" ht="12.75">
      <c r="A446" s="281"/>
    </row>
    <row r="447" ht="12.75">
      <c r="A447" s="281"/>
    </row>
    <row r="448" ht="12.75">
      <c r="A448" s="281"/>
    </row>
    <row r="449" ht="12.75">
      <c r="A449" s="281"/>
    </row>
    <row r="450" ht="12.75">
      <c r="A450" s="281"/>
    </row>
    <row r="451" ht="12.75">
      <c r="A451" s="281"/>
    </row>
    <row r="452" ht="12.75">
      <c r="A452" s="281"/>
    </row>
    <row r="453" ht="12.75">
      <c r="A453" s="281"/>
    </row>
    <row r="454" ht="12.75">
      <c r="A454" s="281"/>
    </row>
    <row r="455" ht="12.75">
      <c r="A455" s="281"/>
    </row>
    <row r="456" ht="12.75">
      <c r="A456" s="281"/>
    </row>
    <row r="457" ht="12.75">
      <c r="A457" s="281"/>
    </row>
    <row r="458" ht="12.75">
      <c r="A458" s="281"/>
    </row>
    <row r="459" ht="12.75">
      <c r="A459" s="281"/>
    </row>
    <row r="460" ht="12.75">
      <c r="A460" s="281"/>
    </row>
    <row r="461" ht="12.75">
      <c r="A461" s="281"/>
    </row>
    <row r="462" ht="12.75">
      <c r="A462" s="281"/>
    </row>
    <row r="463" ht="12.75">
      <c r="A463" s="281"/>
    </row>
    <row r="464" ht="12.75">
      <c r="A464" s="281"/>
    </row>
    <row r="465" ht="12.75">
      <c r="A465" s="281"/>
    </row>
    <row r="466" ht="12.75">
      <c r="A466" s="281"/>
    </row>
    <row r="467" ht="12.75">
      <c r="A467" s="281"/>
    </row>
    <row r="468" ht="12.75">
      <c r="A468" s="281"/>
    </row>
    <row r="469" ht="12.75">
      <c r="A469" s="281"/>
    </row>
    <row r="470" ht="12.75">
      <c r="A470" s="281"/>
    </row>
    <row r="471" ht="12.75">
      <c r="A471" s="281"/>
    </row>
    <row r="472" ht="12.75">
      <c r="A472" s="281"/>
    </row>
    <row r="473" ht="12.75">
      <c r="A473" s="281"/>
    </row>
    <row r="474" ht="12.75">
      <c r="A474" s="281"/>
    </row>
    <row r="475" ht="12.75">
      <c r="A475" s="281"/>
    </row>
    <row r="476" ht="12.75">
      <c r="A476" s="281"/>
    </row>
    <row r="477" ht="12.75">
      <c r="A477" s="281"/>
    </row>
    <row r="478" ht="12.75">
      <c r="A478" s="281"/>
    </row>
    <row r="479" ht="12.75">
      <c r="A479" s="281"/>
    </row>
    <row r="480" ht="12.75">
      <c r="A480" s="281"/>
    </row>
    <row r="481" ht="12.75">
      <c r="A481" s="281"/>
    </row>
    <row r="482" ht="12.75">
      <c r="A482" s="281"/>
    </row>
    <row r="483" ht="12.75">
      <c r="A483" s="281"/>
    </row>
    <row r="484" ht="12.75">
      <c r="A484" s="281"/>
    </row>
    <row r="485" ht="12.75">
      <c r="A485" s="281"/>
    </row>
    <row r="486" ht="12.75">
      <c r="A486" s="281"/>
    </row>
    <row r="487" ht="12.75">
      <c r="A487" s="281"/>
    </row>
    <row r="488" ht="12.75">
      <c r="A488" s="281"/>
    </row>
    <row r="489" ht="12.75">
      <c r="A489" s="281"/>
    </row>
    <row r="490" ht="12.75">
      <c r="A490" s="281"/>
    </row>
    <row r="491" ht="12.75">
      <c r="A491" s="281"/>
    </row>
    <row r="492" ht="12.75">
      <c r="A492" s="281"/>
    </row>
    <row r="493" ht="12.75">
      <c r="A493" s="281"/>
    </row>
    <row r="494" ht="12.75">
      <c r="A494" s="281"/>
    </row>
    <row r="495" ht="12.75">
      <c r="A495" s="281"/>
    </row>
    <row r="496" ht="12.75">
      <c r="A496" s="281"/>
    </row>
    <row r="497" ht="12.75">
      <c r="A497" s="281"/>
    </row>
    <row r="498" ht="12.75">
      <c r="A498" s="281"/>
    </row>
    <row r="499" ht="12.75">
      <c r="A499" s="281"/>
    </row>
    <row r="500" ht="12.75">
      <c r="A500" s="281"/>
    </row>
    <row r="501" ht="12.75">
      <c r="A501" s="281"/>
    </row>
    <row r="502" ht="12.75">
      <c r="A502" s="281"/>
    </row>
    <row r="503" ht="12.75">
      <c r="A503" s="281"/>
    </row>
    <row r="504" ht="12.75">
      <c r="A504" s="281"/>
    </row>
    <row r="505" ht="12.75">
      <c r="A505" s="281"/>
    </row>
    <row r="506" ht="12.75">
      <c r="A506" s="281"/>
    </row>
    <row r="507" ht="12.75">
      <c r="A507" s="281"/>
    </row>
    <row r="508" ht="12.75">
      <c r="A508" s="281"/>
    </row>
    <row r="509" ht="12.75">
      <c r="A509" s="281"/>
    </row>
    <row r="510" ht="12.75">
      <c r="A510" s="284"/>
    </row>
    <row r="520" ht="12.75">
      <c r="A520" s="76"/>
    </row>
    <row r="521" ht="12.75">
      <c r="A521" s="28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smcphail</cp:lastModifiedBy>
  <cp:lastPrinted>2012-07-26T12:58:11Z</cp:lastPrinted>
  <dcterms:created xsi:type="dcterms:W3CDTF">2006-01-10T09:02:07Z</dcterms:created>
  <dcterms:modified xsi:type="dcterms:W3CDTF">2012-07-27T16:04:12Z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