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<sst xmlns="http://schemas.openxmlformats.org/spreadsheetml/2006/main" count="1946" uniqueCount="641">
  <si>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</si>
  <si>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</si>
  <si>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</si>
  <si>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</si>
  <si>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</si>
  <si>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</si>
  <si>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</si>
  <si>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</si>
  <si>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</si>
  <si>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</si>
  <si>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</si>
  <si>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</si>
  <si>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</si>
  <si>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</si>
  <si>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</si>
  <si>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</si>
  <si>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</si>
  <si>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</si>
  <si>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</si>
  <si>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</si>
  <si>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</si>
  <si>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</si>
  <si>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</si>
  <si>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</si>
  <si>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</si>
  <si>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</si>
  <si>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</si>
  <si>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</si>
  <si>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</si>
  <si>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</si>
  <si>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</si>
  <si>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</si>
  <si>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</si>
  <si>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</si>
  <si>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</si>
  <si>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</si>
  <si>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</si>
  <si>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</si>
  <si>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</si>
  <si>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</si>
  <si>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</si>
  <si>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</si>
  <si>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</si>
  <si>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</si>
  <si>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</si>
  <si>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</si>
  <si>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</si>
  <si>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</si>
  <si>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</si>
  <si>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</si>
  <si>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</si>
  <si>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</si>
  <si>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</si>
  <si>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</si>
  <si>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</si>
  <si>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</si>
  <si>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</si>
  <si>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</si>
  <si>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</si>
  <si>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</si>
  <si>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</si>
  <si>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</si>
  <si>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</si>
  <si>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</si>
  <si>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</si>
  <si>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</si>
  <si>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</si>
  <si>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</si>
  <si>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</si>
  <si>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</si>
  <si>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</si>
  <si>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</si>
  <si>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</si>
  <si>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</si>
  <si>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</si>
  <si>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</si>
  <si>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</si>
  <si>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</si>
  <si>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</si>
  <si>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</si>
  <si>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</si>
  <si>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</si>
  <si>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</si>
  <si>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</si>
  <si>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</si>
  <si>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</si>
  <si>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</si>
  <si>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</si>
  <si>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</si>
  <si>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</si>
  <si>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</si>
  <si>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</si>
  <si>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</si>
  <si>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</si>
  <si>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</si>
  <si>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</si>
  <si>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</si>
  <si>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</si>
  <si>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</si>
  <si>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</si>
  <si>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</si>
  <si>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</si>
  <si>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</si>
  <si>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</si>
  <si>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</si>
  <si>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</si>
  <si>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</si>
  <si>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</si>
  <si>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</si>
  <si>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</si>
  <si>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</si>
  <si>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</si>
  <si>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</si>
  <si>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</si>
  <si>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</si>
  <si>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</si>
  <si>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</si>
  <si>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</si>
  <si>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</si>
  <si>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</si>
  <si>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</si>
  <si>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</si>
  <si>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</si>
  <si>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</si>
  <si>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</si>
  <si>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</si>
  <si>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</si>
  <si>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</si>
  <si>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</si>
  <si>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</si>
  <si>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</si>
  <si>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</si>
  <si>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</si>
  <si>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</si>
  <si>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</si>
  <si>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</si>
  <si>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</si>
  <si>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</si>
  <si>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</si>
  <si>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</si>
  <si>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</si>
  <si>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</si>
  <si>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</si>
  <si>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</si>
  <si>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</si>
  <si>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</si>
  <si>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</si>
  <si>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</si>
  <si>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</si>
  <si>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</si>
  <si>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</si>
  <si>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</si>
  <si>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</si>
  <si>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</si>
  <si>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</si>
  <si>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</si>
  <si>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</si>
  <si>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</si>
  <si>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</si>
  <si>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</si>
  <si>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</si>
  <si>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</si>
  <si>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</si>
  <si>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</si>
  <si>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</si>
  <si>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</si>
  <si>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</si>
  <si>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</si>
  <si>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</si>
  <si>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</si>
  <si>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</si>
  <si>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</si>
  <si>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</si>
  <si>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</si>
  <si>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</si>
  <si>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</si>
  <si>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</si>
  <si>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</si>
  <si>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</si>
  <si>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</si>
  <si>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</si>
  <si>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</si>
  <si>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</si>
  <si>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</si>
  <si>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</si>
  <si>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</si>
  <si>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</si>
  <si>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</si>
  <si>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</si>
  <si>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</si>
  <si>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</si>
  <si>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</si>
  <si>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</si>
  <si>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</si>
  <si>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</si>
  <si>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</si>
  <si>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</si>
  <si>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</si>
  <si>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</si>
  <si>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</si>
  <si>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</si>
  <si>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</si>
  <si>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</si>
  <si>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</si>
  <si>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</si>
  <si>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</si>
  <si>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</si>
  <si>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</si>
  <si>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</si>
  <si>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</si>
  <si>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</si>
  <si>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</si>
  <si>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</si>
  <si>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</si>
  <si>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</si>
  <si>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</si>
  <si>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</si>
  <si>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</si>
  <si>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</si>
  <si>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</si>
  <si>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</si>
  <si>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</si>
  <si>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</si>
  <si>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</si>
  <si>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</si>
  <si>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</si>
  <si>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</si>
  <si>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</si>
  <si>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</si>
  <si>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</si>
  <si>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</si>
  <si>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</si>
  <si>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</si>
  <si>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</si>
  <si>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</si>
  <si>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</si>
  <si>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</si>
  <si>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</si>
  <si>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</si>
  <si>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</si>
  <si>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</si>
  <si>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</si>
  <si>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</si>
  <si>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</si>
  <si>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</si>
  <si>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</si>
  <si>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</si>
  <si>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</si>
  <si>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</si>
  <si>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</si>
  <si>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</si>
  <si>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</si>
  <si>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</si>
  <si>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</si>
  <si>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</si>
  <si>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</si>
  <si>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</si>
  <si>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</si>
  <si>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</si>
  <si>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</si>
  <si>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</si>
  <si>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</si>
  <si>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</si>
  <si>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</si>
  <si>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</si>
  <si>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</si>
  <si>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</si>
  <si>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</si>
  <si>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</si>
  <si>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</si>
  <si>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</si>
  <si>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</si>
  <si>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</si>
  <si>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</si>
  <si>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</si>
  <si>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</si>
  <si>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</si>
  <si>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</si>
  <si>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</si>
  <si>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</si>
  <si>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</si>
  <si>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</si>
  <si>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K84001</t>
  </si>
  <si>
    <t>K84002</t>
  </si>
  <si>
    <t>K84003</t>
  </si>
  <si>
    <t>K84004</t>
  </si>
  <si>
    <t>K84005</t>
  </si>
  <si>
    <t>K84006</t>
  </si>
  <si>
    <t>K84007</t>
  </si>
  <si>
    <t>K84008</t>
  </si>
  <si>
    <t>K84009</t>
  </si>
  <si>
    <t>K84010</t>
  </si>
  <si>
    <t>K84011</t>
  </si>
  <si>
    <t>K84013</t>
  </si>
  <si>
    <t>K84014</t>
  </si>
  <si>
    <t>K84015</t>
  </si>
  <si>
    <t>K84016</t>
  </si>
  <si>
    <t>K84017</t>
  </si>
  <si>
    <t>K84019</t>
  </si>
  <si>
    <t>K84020</t>
  </si>
  <si>
    <t>K84021</t>
  </si>
  <si>
    <t>K84022</t>
  </si>
  <si>
    <t>K84023</t>
  </si>
  <si>
    <t>K84024</t>
  </si>
  <si>
    <t>K84025</t>
  </si>
  <si>
    <t>K84026</t>
  </si>
  <si>
    <t>K84027</t>
  </si>
  <si>
    <t>K84028</t>
  </si>
  <si>
    <t>K84029</t>
  </si>
  <si>
    <t>K84030</t>
  </si>
  <si>
    <t>K84031</t>
  </si>
  <si>
    <t>K84032</t>
  </si>
  <si>
    <t>K84033</t>
  </si>
  <si>
    <t>K84034</t>
  </si>
  <si>
    <t>K84035</t>
  </si>
  <si>
    <t>K84036</t>
  </si>
  <si>
    <t>K84037</t>
  </si>
  <si>
    <t>K84038</t>
  </si>
  <si>
    <t>K84039</t>
  </si>
  <si>
    <t>K84040</t>
  </si>
  <si>
    <t>K84041</t>
  </si>
  <si>
    <t>K84042</t>
  </si>
  <si>
    <t>K84043</t>
  </si>
  <si>
    <t>K84044</t>
  </si>
  <si>
    <t>K84045</t>
  </si>
  <si>
    <t>K84046</t>
  </si>
  <si>
    <t>K84047</t>
  </si>
  <si>
    <t>K84048</t>
  </si>
  <si>
    <t>K84049</t>
  </si>
  <si>
    <t>K84051</t>
  </si>
  <si>
    <t>K84052</t>
  </si>
  <si>
    <t>K84054</t>
  </si>
  <si>
    <t>K84055</t>
  </si>
  <si>
    <t>K84056</t>
  </si>
  <si>
    <t>K84058</t>
  </si>
  <si>
    <t>K84059</t>
  </si>
  <si>
    <t>K84060</t>
  </si>
  <si>
    <t>K84062</t>
  </si>
  <si>
    <t>K84063</t>
  </si>
  <si>
    <t>K84065</t>
  </si>
  <si>
    <t>K84071</t>
  </si>
  <si>
    <t>K84072</t>
  </si>
  <si>
    <t>K84073</t>
  </si>
  <si>
    <t>K84074</t>
  </si>
  <si>
    <t>K84075</t>
  </si>
  <si>
    <t>K84076</t>
  </si>
  <si>
    <t>K84077</t>
  </si>
  <si>
    <t>K84078</t>
  </si>
  <si>
    <t>K84079</t>
  </si>
  <si>
    <t>K84080</t>
  </si>
  <si>
    <t>K84082</t>
  </si>
  <si>
    <t>K84605</t>
  </si>
  <si>
    <t>K84608</t>
  </si>
  <si>
    <t>K84610</t>
  </si>
  <si>
    <t>K84613</t>
  </si>
  <si>
    <t>K84615</t>
  </si>
  <si>
    <t>K84617</t>
  </si>
  <si>
    <t>K84618</t>
  </si>
  <si>
    <t>K84620</t>
  </si>
  <si>
    <t>K84621</t>
  </si>
  <si>
    <t>K84622</t>
  </si>
  <si>
    <t>K84623</t>
  </si>
  <si>
    <t>K84624</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</si>
  <si>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</si>
  <si>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</si>
  <si>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</si>
  <si>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</si>
  <si>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</si>
  <si>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</si>
  <si>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</si>
  <si>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</si>
  <si>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</si>
  <si>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</si>
  <si>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</si>
  <si>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</si>
  <si>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</si>
  <si>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</si>
  <si>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</si>
  <si>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</si>
  <si>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</si>
  <si>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</si>
  <si>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</si>
  <si>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</si>
  <si>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</si>
  <si>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</si>
  <si>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</si>
  <si>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</si>
  <si>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</si>
  <si>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</si>
  <si>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</si>
  <si>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</si>
  <si>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</si>
  <si>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</si>
  <si>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</si>
  <si>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</si>
  <si>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</si>
  <si>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</si>
  <si>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</si>
  <si>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</si>
  <si>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</si>
  <si>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</si>
  <si>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</si>
  <si>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</si>
  <si>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</si>
  <si>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</si>
  <si>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</si>
  <si>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</si>
  <si>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</si>
  <si>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</si>
  <si>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</si>
  <si>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</si>
  <si>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</si>
  <si>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</si>
  <si>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</si>
  <si>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</si>
  <si>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</si>
  <si>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</si>
  <si>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</si>
  <si>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</si>
  <si>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</si>
  <si>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</si>
  <si>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</si>
  <si>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</si>
  <si>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</si>
  <si>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</si>
  <si>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</si>
  <si>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</si>
  <si>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</si>
  <si>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</si>
  <si>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</si>
  <si>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</si>
  <si>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</si>
  <si>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</si>
  <si>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</si>
  <si>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</si>
  <si>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</si>
  <si>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</si>
  <si>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</si>
  <si>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</si>
  <si>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</si>
  <si>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</si>
  <si>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</si>
  <si>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</si>
  <si>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</si>
  <si>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</si>
  <si>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</si>
  <si>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</si>
  <si>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</si>
  <si>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</si>
  <si>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</si>
  <si>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</si>
  <si>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</si>
  <si>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</si>
  <si>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</si>
  <si>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</si>
  <si>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</si>
  <si>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</si>
  <si>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</si>
  <si>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</si>
  <si>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</si>
  <si>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</si>
  <si>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</si>
  <si>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</si>
  <si>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</si>
  <si>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</si>
  <si>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</si>
  <si>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</si>
  <si>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</si>
  <si>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</si>
  <si>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</si>
  <si>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</si>
  <si>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</si>
  <si>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</si>
  <si>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</si>
  <si>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</si>
  <si>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</si>
  <si>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</si>
  <si>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</si>
  <si>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</si>
  <si>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</si>
  <si>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</si>
  <si>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</si>
  <si>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</si>
  <si>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</si>
  <si>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</si>
  <si>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</si>
  <si>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</si>
  <si>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</si>
  <si>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</si>
  <si>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</si>
  <si>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</si>
  <si>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</si>
  <si>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</si>
  <si>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</si>
  <si>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</si>
  <si>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</si>
  <si>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</si>
  <si>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</si>
  <si>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</si>
  <si>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</si>
  <si>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</si>
  <si>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</si>
  <si>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</si>
  <si>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</si>
  <si>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</si>
  <si>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</si>
  <si>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</si>
  <si>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</si>
  <si>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</si>
  <si>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</si>
  <si>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</si>
  <si>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</si>
  <si>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</si>
  <si>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</si>
  <si>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</si>
  <si>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</si>
  <si>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</si>
  <si>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</si>
  <si>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</si>
  <si>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</si>
  <si>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</si>
  <si>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</si>
  <si>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</si>
  <si>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</si>
  <si>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</si>
  <si>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</si>
  <si>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</si>
  <si>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</si>
  <si>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</si>
  <si>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</si>
  <si>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</si>
  <si>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</si>
  <si>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</si>
  <si>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</si>
  <si>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</si>
  <si>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</si>
  <si>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</si>
  <si>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</si>
  <si>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</si>
  <si>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</si>
  <si>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</si>
  <si>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</si>
  <si>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</si>
  <si>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</si>
  <si>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</si>
  <si>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</si>
  <si>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</si>
  <si>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</si>
  <si>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(K84001) THE HART SURGERY</t>
  </si>
  <si>
    <t>(K84002) DIDCOT HEALTH CENTRE PRACTICE</t>
  </si>
  <si>
    <t>(K84003) ISLIP SURGERY</t>
  </si>
  <si>
    <t>(K84004) DR ANSCOMBE AND PARTNERS</t>
  </si>
  <si>
    <t>(K84005) KENNINGTON HEALTH CENTRE</t>
  </si>
  <si>
    <t>(K84006) EYNSHAM MEDICAL GROUP</t>
  </si>
  <si>
    <t>(K84007) TEMPLE COWLEY HEALTH CENTRE</t>
  </si>
  <si>
    <t>(K84009) BURY KNOWLE HEALTH CENTRE</t>
  </si>
  <si>
    <t>(K84010) BAMPTON SURGERY</t>
  </si>
  <si>
    <t>(K84011) SUMMERTOWN HEALTH CENTRE</t>
  </si>
  <si>
    <t>(K84013) ST. BARTHOLEMEW'S MEDICAL CENTRE</t>
  </si>
  <si>
    <t>(K84014) MORLAND HOUSE SURGERY</t>
  </si>
  <si>
    <t>(K84015) NETTLEBED SURGERY</t>
  </si>
  <si>
    <t>(K84016) 19 BEAUMONT STREET</t>
  </si>
  <si>
    <t>(K84017) WINDRUSH HEALTH CENTRE</t>
  </si>
  <si>
    <t>(K84019) NEWBURY STREET PRACTICE</t>
  </si>
  <si>
    <t>(K84020) SONNING COMMON HEALTH CENTRE</t>
  </si>
  <si>
    <t>(K84021) BANBURY ROAD MEDICAL CENTRE</t>
  </si>
  <si>
    <t>(K84022) EXETER SURGERY</t>
  </si>
  <si>
    <t>(K84023) BERINSFIELD HEALTH CENTRE</t>
  </si>
  <si>
    <t>(K84024) WINDRUSH SURGERY</t>
  </si>
  <si>
    <t>(K84025) BOTLEY MEDICAL CENTRE</t>
  </si>
  <si>
    <t>(K84026) JERICHO HEALTH CENTRE (KEARLEY)</t>
  </si>
  <si>
    <t>(K84027) MALTHOUSE SURGERY</t>
  </si>
  <si>
    <t>(K84028) WEST BAR SURGERY</t>
  </si>
  <si>
    <t>(K84029) NORTH OXFORD MEDICAL CENTRE</t>
  </si>
  <si>
    <t>(K84030) WEST STREET SURGERY</t>
  </si>
  <si>
    <t>(K84031) THE LEYS HEALTH CENTRE</t>
  </si>
  <si>
    <t>(K84032) BARTLEMAS SURGERY</t>
  </si>
  <si>
    <t>(K84033) CHURCH STREET PRACTICE</t>
  </si>
  <si>
    <t>(K84034) CLIFTON HAMPDEN SURGERY</t>
  </si>
  <si>
    <t>(K84035) THE BELL SURGERY</t>
  </si>
  <si>
    <t>(K84036) MILL STREAM SURGERY</t>
  </si>
  <si>
    <t>(K84037) WALLINGFORD MEDICAL PRACTICE</t>
  </si>
  <si>
    <t>(K84038) MONTGOMERY HOUSE SURGERY</t>
  </si>
  <si>
    <t>(K84039) WHITE HOUSE SURGERY</t>
  </si>
  <si>
    <t>(K84040) HORSEFAIR SURGERY</t>
  </si>
  <si>
    <t>(K84041) MARCHAM RD FAMILY HEALTH CENTRE</t>
  </si>
  <si>
    <t>(K84042) WOODSTOCK SURGERY</t>
  </si>
  <si>
    <t>(K84043) WOODLANDS MEDICAL CENTRE</t>
  </si>
  <si>
    <t>(K84044) MANOR SURGERY</t>
  </si>
  <si>
    <t>(K84045) GOSFORD HILL MEDICAL CENTRE</t>
  </si>
  <si>
    <t>(K84046) WYCHWOOD SURGERY</t>
  </si>
  <si>
    <t>(K84047) BURFORD SURGERY</t>
  </si>
  <si>
    <t>(K84048) HOLLOW WAY MEDICAL CENTRE</t>
  </si>
  <si>
    <t>(K84049) 27 BEAUMONT STREET</t>
  </si>
  <si>
    <t>(K84051) WHITE HORSE MEDICAL PRACTICE</t>
  </si>
  <si>
    <t>(K84052) BICESTER HEALTH CENTRE</t>
  </si>
  <si>
    <t>(K84054) THE ABINGDON SURGERY</t>
  </si>
  <si>
    <t>(K84055) DEDDINGTON HEALTH CENTRE</t>
  </si>
  <si>
    <t>(K84056) CROPREDY SURGERY</t>
  </si>
  <si>
    <t>(K84058) BLOXHAM SURGERY</t>
  </si>
  <si>
    <t>(K84059) HIGHTOWN SURGERY</t>
  </si>
  <si>
    <t>(K84060) ST. CLEMENT'S SURGERY</t>
  </si>
  <si>
    <t>(K84062) WOODLANDS SURGERY</t>
  </si>
  <si>
    <t>(K84063) EAST OXFORD HEALTH CENTRE</t>
  </si>
  <si>
    <t>(K84065) SIBFORD SURGERY</t>
  </si>
  <si>
    <t>(K84071) RED CROSS ROAD SURGERY</t>
  </si>
  <si>
    <t>(K84072) NUFFIELD HEALTH CENTRE</t>
  </si>
  <si>
    <t>(K84073) VICTORIA HOUSE SURGERY</t>
  </si>
  <si>
    <t>(K84074) GROVE MEDICAL CENTRE</t>
  </si>
  <si>
    <t>(K84075) BROADSHIRES HEALTH CENTRE</t>
  </si>
  <si>
    <t>(K84076) MARSTON MEDICAL CENTRE</t>
  </si>
  <si>
    <t>(K84077) FERN HILL PRACTICE</t>
  </si>
  <si>
    <t>(K84078) JERICHO HEALTH CENTRE (BOGDANOR)</t>
  </si>
  <si>
    <t>(K84079) LONG FURLONG MEDICAL CENTRE</t>
  </si>
  <si>
    <t>(K84080) 28 BEAUMONT STREET</t>
  </si>
  <si>
    <t>(K84605) 9 KING EDWARD STREET</t>
  </si>
  <si>
    <t>(K84608) DONNINGTON HEALTH CENTRE (MEHTA)</t>
  </si>
  <si>
    <t>(K84610) CHARLBURY SURGERY</t>
  </si>
  <si>
    <t>(K84613) LANGFORD MEDICAL PRACTICE</t>
  </si>
  <si>
    <t>(K84615) JERICHO HEALTH CENTRE (CHIVERS)</t>
  </si>
  <si>
    <t>(K84617) SOUTH OXFORD HEALTH CENTRE</t>
  </si>
  <si>
    <t>(K84618) COGGES SURGERY</t>
  </si>
  <si>
    <t>(K84620) WOOD FARM HEALTH CENTRE</t>
  </si>
  <si>
    <t>(K84621) NORTH BICESTER SURGERY</t>
  </si>
  <si>
    <t>(K84622) DEER PARK MEDICAL CENTRE</t>
  </si>
  <si>
    <t>(K84623) KENDALL CRESCENT HEALTH CENTRE</t>
  </si>
  <si>
    <t>(K84624) OAK TREE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</si>
  <si>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</si>
  <si>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</si>
  <si>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</si>
  <si>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</si>
  <si>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</si>
  <si>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</si>
  <si>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</si>
  <si>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</si>
  <si>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</si>
  <si>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</si>
  <si>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(K84008) CHALGROVE + WATLINGTON SURGERIES</t>
  </si>
  <si>
    <t>(K84082) DR PANDHER + EVANS AND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</si>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</sst>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0.7438123093942806</c:v>
                </c:pt>
                <c:pt idx="3">
                  <c:v>1</c:v>
                </c:pt>
                <c:pt idx="4">
                  <c:v>1</c:v>
                </c:pt>
                <c:pt idx="5">
                  <c:v>1</c:v>
                </c:pt>
                <c:pt idx="6">
                  <c:v>0.9583333090801425</c:v>
                </c:pt>
                <c:pt idx="7">
                  <c:v>0.8443594803514921</c:v>
                </c:pt>
                <c:pt idx="8">
                  <c:v>0.6546033600946741</c:v>
                </c:pt>
                <c:pt idx="9">
                  <c:v>0.6568459720279204</c:v>
                </c:pt>
                <c:pt idx="10">
                  <c:v>0.7234560853600365</c:v>
                </c:pt>
                <c:pt idx="11">
                  <c:v>0.775191444468804</c:v>
                </c:pt>
                <c:pt idx="12">
                  <c:v>1</c:v>
                </c:pt>
                <c:pt idx="13">
                  <c:v>0</c:v>
                </c:pt>
                <c:pt idx="14">
                  <c:v>1</c:v>
                </c:pt>
                <c:pt idx="15">
                  <c:v>0.7331011692259414</c:v>
                </c:pt>
                <c:pt idx="16">
                  <c:v>1</c:v>
                </c:pt>
                <c:pt idx="17">
                  <c:v>1</c:v>
                </c:pt>
                <c:pt idx="18">
                  <c:v>1</c:v>
                </c:pt>
                <c:pt idx="19">
                  <c:v>1</c:v>
                </c:pt>
                <c:pt idx="20">
                  <c:v>1</c:v>
                </c:pt>
                <c:pt idx="21">
                  <c:v>1</c:v>
                </c:pt>
                <c:pt idx="22">
                  <c:v>0.991295487661675</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0.6230635241271503</c:v>
                </c:pt>
                <c:pt idx="3">
                  <c:v>0.5625000087311489</c:v>
                </c:pt>
                <c:pt idx="4">
                  <c:v>0.6165220995036458</c:v>
                </c:pt>
                <c:pt idx="5">
                  <c:v>0.5709155725257362</c:v>
                </c:pt>
                <c:pt idx="6">
                  <c:v>0.7083332799763133</c:v>
                </c:pt>
                <c:pt idx="7">
                  <c:v>0.6284055282260327</c:v>
                </c:pt>
                <c:pt idx="8">
                  <c:v>0.5888204242757558</c:v>
                </c:pt>
                <c:pt idx="9">
                  <c:v>0.5568866588811062</c:v>
                </c:pt>
                <c:pt idx="10">
                  <c:v>0.5994521736184975</c:v>
                </c:pt>
                <c:pt idx="11">
                  <c:v>0.5603893531855413</c:v>
                </c:pt>
                <c:pt idx="12">
                  <c:v>0.60877216207352</c:v>
                </c:pt>
                <c:pt idx="13">
                  <c:v>0</c:v>
                </c:pt>
                <c:pt idx="14">
                  <c:v>0.6253443726047129</c:v>
                </c:pt>
                <c:pt idx="15">
                  <c:v>0.5615828304418067</c:v>
                </c:pt>
                <c:pt idx="16">
                  <c:v>0.6405014867215949</c:v>
                </c:pt>
                <c:pt idx="17">
                  <c:v>0.5754962247326503</c:v>
                </c:pt>
                <c:pt idx="18">
                  <c:v>0.5711822186405985</c:v>
                </c:pt>
                <c:pt idx="19">
                  <c:v>0.6209896025264058</c:v>
                </c:pt>
                <c:pt idx="20">
                  <c:v>0.6225751423347744</c:v>
                </c:pt>
                <c:pt idx="21">
                  <c:v>0.6290136978138188</c:v>
                </c:pt>
                <c:pt idx="22">
                  <c:v>0.6889581393964741</c:v>
                </c:pt>
                <c:pt idx="23">
                  <c:v>0.6175882773114849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0.3007828168210507</c:v>
                </c:pt>
                <c:pt idx="3">
                  <c:v>0.46874999563442554</c:v>
                </c:pt>
                <c:pt idx="4">
                  <c:v>0.3792910000187446</c:v>
                </c:pt>
                <c:pt idx="5">
                  <c:v>0.4257109280632248</c:v>
                </c:pt>
                <c:pt idx="6">
                  <c:v>0.4166666569653903</c:v>
                </c:pt>
                <c:pt idx="7">
                  <c:v>0.3693437209138627</c:v>
                </c:pt>
                <c:pt idx="8">
                  <c:v>0.36566205300224747</c:v>
                </c:pt>
                <c:pt idx="9">
                  <c:v>0.3549561178303933</c:v>
                </c:pt>
                <c:pt idx="10">
                  <c:v>0.3826561277274292</c:v>
                </c:pt>
                <c:pt idx="11">
                  <c:v>0.4098022900519987</c:v>
                </c:pt>
                <c:pt idx="12">
                  <c:v>0.3681257252087414</c:v>
                </c:pt>
                <c:pt idx="13">
                  <c:v>0</c:v>
                </c:pt>
                <c:pt idx="14">
                  <c:v>0.36363637324207077</c:v>
                </c:pt>
                <c:pt idx="15">
                  <c:v>0.42124963371784035</c:v>
                </c:pt>
                <c:pt idx="16">
                  <c:v>0.4006690078030613</c:v>
                </c:pt>
                <c:pt idx="17">
                  <c:v>0.4401670297509641</c:v>
                </c:pt>
                <c:pt idx="18">
                  <c:v>0.403050099715546</c:v>
                </c:pt>
                <c:pt idx="19">
                  <c:v>0.43317205241409384</c:v>
                </c:pt>
                <c:pt idx="20">
                  <c:v>0.3830576702524976</c:v>
                </c:pt>
                <c:pt idx="21">
                  <c:v>0.4118612024069091</c:v>
                </c:pt>
                <c:pt idx="22">
                  <c:v>0.33519420890481944</c:v>
                </c:pt>
                <c:pt idx="23">
                  <c:v>0.34112785002864787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0.40624999854480853</c:v>
                </c:pt>
                <c:pt idx="4">
                  <c:v>0.054530104083001775</c:v>
                </c:pt>
                <c:pt idx="5">
                  <c:v>0.294244814355295</c:v>
                </c:pt>
                <c:pt idx="6">
                  <c:v>0</c:v>
                </c:pt>
                <c:pt idx="7">
                  <c:v>0</c:v>
                </c:pt>
                <c:pt idx="8">
                  <c:v>0</c:v>
                </c:pt>
                <c:pt idx="9">
                  <c:v>0</c:v>
                </c:pt>
                <c:pt idx="10">
                  <c:v>0</c:v>
                </c:pt>
                <c:pt idx="11">
                  <c:v>0</c:v>
                </c:pt>
                <c:pt idx="12">
                  <c:v>0.09062838425910273</c:v>
                </c:pt>
                <c:pt idx="13">
                  <c:v>0</c:v>
                </c:pt>
                <c:pt idx="14">
                  <c:v>0.006966399800057847</c:v>
                </c:pt>
                <c:pt idx="15">
                  <c:v>0</c:v>
                </c:pt>
                <c:pt idx="16">
                  <c:v>0.10760448247707295</c:v>
                </c:pt>
                <c:pt idx="17">
                  <c:v>0.29219264991956634</c:v>
                </c:pt>
                <c:pt idx="18">
                  <c:v>0.3085700129249459</c:v>
                </c:pt>
                <c:pt idx="19">
                  <c:v>0.2827920783612665</c:v>
                </c:pt>
                <c:pt idx="20">
                  <c:v>0.1787940735113961</c:v>
                </c:pt>
                <c:pt idx="21">
                  <c:v>0.34827289648954773</c:v>
                </c:pt>
                <c:pt idx="22">
                  <c:v>0</c:v>
                </c:pt>
                <c:pt idx="23">
                  <c:v>0.1469865042408455</c:v>
                </c:pt>
                <c:pt idx="24">
                  <c:v>0</c:v>
                </c:pt>
                <c:pt idx="25">
                  <c:v>0</c:v>
                </c:pt>
                <c:pt idx="26">
                  <c:v>0</c:v>
                </c:pt>
              </c:numCache>
            </c:numRef>
          </c:val>
        </c:ser>
        <c:overlap val="100"/>
        <c:gapWidth val="100"/>
        <c:axId val="30175864"/>
        <c:axId val="314732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0.48952093461756824</c:v>
                </c:pt>
                <c:pt idx="3">
                  <c:v>0.7503415646491335</c:v>
                </c:pt>
                <c:pt idx="4">
                  <c:v>0.5100540609338929</c:v>
                </c:pt>
                <c:pt idx="5">
                  <c:v>0.5025431940230349</c:v>
                </c:pt>
                <c:pt idx="6">
                  <c:v>0.49753023272431646</c:v>
                </c:pt>
                <c:pt idx="7">
                  <c:v>0.49156419761753606</c:v>
                </c:pt>
                <c:pt idx="8">
                  <c:v>0.5734159178084606</c:v>
                </c:pt>
                <c:pt idx="9">
                  <c:v>0.43456794538771937</c:v>
                </c:pt>
                <c:pt idx="10">
                  <c:v>0.9429516169890779</c:v>
                </c:pt>
                <c:pt idx="11">
                  <c:v>0.5325967530417434</c:v>
                </c:pt>
                <c:pt idx="12">
                  <c:v>0.5324871985107089</c:v>
                </c:pt>
                <c:pt idx="13">
                  <c:v>0.5</c:v>
                </c:pt>
                <c:pt idx="14">
                  <c:v>0.42527796918131755</c:v>
                </c:pt>
                <c:pt idx="15">
                  <c:v>0.3480347920753935</c:v>
                </c:pt>
                <c:pt idx="16">
                  <c:v>0.49714470223686</c:v>
                </c:pt>
                <c:pt idx="17">
                  <c:v>0.4902595712195071</c:v>
                </c:pt>
                <c:pt idx="18">
                  <c:v>0.5604145679609938</c:v>
                </c:pt>
                <c:pt idx="19">
                  <c:v>0.5207925124201612</c:v>
                </c:pt>
                <c:pt idx="20">
                  <c:v>0.4663676892863232</c:v>
                </c:pt>
                <c:pt idx="21">
                  <c:v>0.6804549422563934</c:v>
                </c:pt>
                <c:pt idx="22">
                  <c:v>0.781438265664789</c:v>
                </c:pt>
                <c:pt idx="23">
                  <c:v>0.5326439418829098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0.48570776286456846</c:v>
                </c:pt>
                <c:pt idx="12">
                  <c:v>-999</c:v>
                </c:pt>
                <c:pt idx="13">
                  <c:v>0.4556092464319838</c:v>
                </c:pt>
                <c:pt idx="14">
                  <c:v>-999</c:v>
                </c:pt>
                <c:pt idx="15">
                  <c:v>0.4212496066810363</c:v>
                </c:pt>
                <c:pt idx="16">
                  <c:v>-999</c:v>
                </c:pt>
                <c:pt idx="17">
                  <c:v>0.45375804001674575</c:v>
                </c:pt>
                <c:pt idx="18">
                  <c:v>-999</c:v>
                </c:pt>
                <c:pt idx="19">
                  <c:v>0.489931413534023</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0.12366195490333011</c:v>
                </c:pt>
                <c:pt idx="3">
                  <c:v>0.468749999825377</c:v>
                </c:pt>
                <c:pt idx="4">
                  <c:v>0.2366346896857302</c:v>
                </c:pt>
                <c:pt idx="5">
                  <c:v>0.3499296003952214</c:v>
                </c:pt>
                <c:pt idx="6">
                  <c:v>0.24999998020939623</c:v>
                </c:pt>
                <c:pt idx="7">
                  <c:v>0.340117994135294</c:v>
                </c:pt>
                <c:pt idx="8">
                  <c:v>0.3071564311800499</c:v>
                </c:pt>
                <c:pt idx="9">
                  <c:v>0.10989298973857507</c:v>
                </c:pt>
                <c:pt idx="10">
                  <c:v>0.3983252454586131</c:v>
                </c:pt>
                <c:pt idx="11">
                  <c:v>-999</c:v>
                </c:pt>
                <c:pt idx="12">
                  <c:v>0.30077236262433765</c:v>
                </c:pt>
                <c:pt idx="13">
                  <c:v>-999</c:v>
                </c:pt>
                <c:pt idx="14">
                  <c:v>0.19656019984863685</c:v>
                </c:pt>
                <c:pt idx="15">
                  <c:v>-999</c:v>
                </c:pt>
                <c:pt idx="16">
                  <c:v>0.24781235806354873</c:v>
                </c:pt>
                <c:pt idx="17">
                  <c:v>-999</c:v>
                </c:pt>
                <c:pt idx="18">
                  <c:v>-999</c:v>
                </c:pt>
                <c:pt idx="19">
                  <c:v>-999</c:v>
                </c:pt>
                <c:pt idx="20">
                  <c:v>0.2824037201056731</c:v>
                </c:pt>
                <c:pt idx="21">
                  <c:v>0.38911698537850997</c:v>
                </c:pt>
                <c:pt idx="22">
                  <c:v>0.09716356153726326</c:v>
                </c:pt>
                <c:pt idx="23">
                  <c:v>0.21725607851114048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8325890"/>
        <c:axId val="53606419"/>
      </c:scatterChart>
      <c:catAx>
        <c:axId val="30175864"/>
        <c:scaling>
          <c:orientation val="maxMin"/>
        </c:scaling>
        <c:axPos val="l"/>
        <c:delete val="0"/>
        <c:numFmt formatCode="General" sourceLinked="1"/>
        <c:majorTickMark val="out"/>
        <c:minorTickMark val="none"/>
        <c:tickLblPos val="none"/>
        <c:spPr>
          <a:ln w="3175">
            <a:noFill/>
          </a:ln>
        </c:spPr>
        <c:crossAx val="3147321"/>
        <c:crosses val="autoZero"/>
        <c:auto val="1"/>
        <c:lblOffset val="100"/>
        <c:tickLblSkip val="1"/>
        <c:noMultiLvlLbl val="0"/>
      </c:catAx>
      <c:valAx>
        <c:axId val="3147321"/>
        <c:scaling>
          <c:orientation val="minMax"/>
          <c:max val="1"/>
          <c:min val="0"/>
        </c:scaling>
        <c:axPos val="t"/>
        <c:delete val="0"/>
        <c:numFmt formatCode="General" sourceLinked="1"/>
        <c:majorTickMark val="none"/>
        <c:minorTickMark val="none"/>
        <c:tickLblPos val="none"/>
        <c:spPr>
          <a:ln w="3175">
            <a:noFill/>
          </a:ln>
        </c:spPr>
        <c:crossAx val="30175864"/>
        <c:crossesAt val="1"/>
        <c:crossBetween val="between"/>
        <c:dispUnits/>
        <c:majorUnit val="1"/>
      </c:valAx>
      <c:valAx>
        <c:axId val="28325890"/>
        <c:scaling>
          <c:orientation val="minMax"/>
          <c:max val="1"/>
          <c:min val="0"/>
        </c:scaling>
        <c:axPos val="t"/>
        <c:delete val="0"/>
        <c:numFmt formatCode="General" sourceLinked="1"/>
        <c:majorTickMark val="none"/>
        <c:minorTickMark val="none"/>
        <c:tickLblPos val="none"/>
        <c:spPr>
          <a:ln w="3175">
            <a:noFill/>
          </a:ln>
        </c:spPr>
        <c:crossAx val="53606419"/>
        <c:crosses val="max"/>
        <c:crossBetween val="midCat"/>
        <c:dispUnits/>
        <c:majorUnit val="0.1"/>
        <c:minorUnit val="0.020000000000000004"/>
      </c:valAx>
      <c:valAx>
        <c:axId val="53606419"/>
        <c:scaling>
          <c:orientation val="maxMin"/>
          <c:max val="29"/>
          <c:min val="0"/>
        </c:scaling>
        <c:axPos val="l"/>
        <c:delete val="0"/>
        <c:numFmt formatCode="General" sourceLinked="1"/>
        <c:majorTickMark val="none"/>
        <c:minorTickMark val="none"/>
        <c:tickLblPos val="none"/>
        <c:spPr>
          <a:ln w="3175">
            <a:noFill/>
          </a:ln>
        </c:spPr>
        <c:crossAx val="2832589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(K84016) 19 BEAUMONT STREET, OXFORDSHIRE PCT (5QE)</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517</v>
      </c>
      <c r="Q3" s="65"/>
      <c r="R3" s="66"/>
      <c r="S3" s="66"/>
      <c r="T3" s="66"/>
      <c r="U3" s="66"/>
      <c r="V3" s="66"/>
      <c r="W3" s="66"/>
      <c r="X3" s="66"/>
      <c r="Y3" s="66"/>
      <c r="Z3" s="66"/>
      <c r="AA3" s="66"/>
      <c r="AB3" s="66"/>
      <c r="AC3" s="66"/>
    </row>
    <row r="4" spans="2:29" ht="18" customHeight="1">
      <c r="B4" s="319" t="s">
        <v>630</v>
      </c>
      <c r="C4" s="320"/>
      <c r="D4" s="320"/>
      <c r="E4" s="320"/>
      <c r="F4" s="320"/>
      <c r="G4" s="321"/>
      <c r="H4" s="112"/>
      <c r="I4" s="112"/>
      <c r="J4" s="112"/>
      <c r="K4" s="112"/>
      <c r="L4" s="113"/>
      <c r="M4" s="65"/>
      <c r="N4" s="65"/>
      <c r="O4" s="65"/>
      <c r="P4" s="134" t="s">
        <v>518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629</v>
      </c>
      <c r="C8" s="115"/>
      <c r="D8" s="115"/>
      <c r="E8" s="128">
        <f>VLOOKUP('Hide - Control'!A$3,'All practice data'!A:CA,4,FALSE)</f>
        <v>13691</v>
      </c>
      <c r="F8" s="310" t="str">
        <f>VLOOKUP('Hide - Control'!B4,'Hide - Calculation'!AY:BA,3,FALSE)</f>
        <v>Please note: Bowel screening indicators are based on less than 30 but over 12 months of data.</v>
      </c>
      <c r="G8" s="310"/>
      <c r="H8" s="310"/>
      <c r="I8" s="115"/>
      <c r="J8" s="115"/>
      <c r="K8" s="115"/>
      <c r="L8" s="115"/>
      <c r="M8" s="109"/>
      <c r="N8" s="314" t="s">
        <v>527</v>
      </c>
      <c r="O8" s="314"/>
      <c r="P8" s="314"/>
      <c r="Q8" s="314" t="s">
        <v>32</v>
      </c>
      <c r="R8" s="314"/>
      <c r="S8" s="314"/>
      <c r="T8" s="314" t="s">
        <v>633</v>
      </c>
      <c r="U8" s="314"/>
      <c r="V8" s="314" t="s">
        <v>33</v>
      </c>
      <c r="W8" s="314"/>
      <c r="X8" s="314"/>
      <c r="Y8" s="135"/>
      <c r="Z8" s="314" t="s">
        <v>520</v>
      </c>
      <c r="AA8" s="314"/>
      <c r="AB8" s="161"/>
      <c r="AC8" s="109"/>
    </row>
    <row r="9" spans="2:29" s="61" customFormat="1" ht="19.5" customHeight="1" thickBot="1">
      <c r="B9" s="114" t="s">
        <v>512</v>
      </c>
      <c r="C9" s="114"/>
      <c r="D9" s="114"/>
      <c r="E9" s="129">
        <f>VLOOKUP('Hide - Control'!B4,'Hide - Calculation'!AY:BB,4,FALSE)</f>
        <v>671572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490</v>
      </c>
      <c r="E11" s="317"/>
      <c r="F11" s="318"/>
      <c r="G11" s="263" t="s">
        <v>488</v>
      </c>
      <c r="H11" s="255" t="s">
        <v>489</v>
      </c>
      <c r="I11" s="255" t="s">
        <v>500</v>
      </c>
      <c r="J11" s="255" t="s">
        <v>501</v>
      </c>
      <c r="K11" s="255" t="s">
        <v>373</v>
      </c>
      <c r="L11" s="256" t="s">
        <v>414</v>
      </c>
      <c r="M11" s="257" t="s">
        <v>510</v>
      </c>
      <c r="N11" s="334" t="s">
        <v>508</v>
      </c>
      <c r="O11" s="334"/>
      <c r="P11" s="334"/>
      <c r="Q11" s="334"/>
      <c r="R11" s="334"/>
      <c r="S11" s="334"/>
      <c r="T11" s="334"/>
      <c r="U11" s="334"/>
      <c r="V11" s="334"/>
      <c r="W11" s="334"/>
      <c r="X11" s="334"/>
      <c r="Y11" s="334"/>
      <c r="Z11" s="334"/>
      <c r="AA11" s="258" t="s">
        <v>511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371</v>
      </c>
      <c r="C13" s="163">
        <v>1</v>
      </c>
      <c r="D13" s="312" t="s">
        <v>367</v>
      </c>
      <c r="E13" s="313"/>
      <c r="F13" s="313"/>
      <c r="G13" s="166">
        <f>IF(VLOOKUP('Hide - Control'!A$3,'All practice data'!A:CA,C13+4,FALSE)=" "," ",VLOOKUP('Hide - Control'!A$3,'All practice data'!A:CA,C13+4,FALSE))</f>
        <v>912</v>
      </c>
      <c r="H13" s="190">
        <f>IF(VLOOKUP('Hide - Control'!A$3,'All practice data'!A:CA,C13+30,FALSE)=" "," ",VLOOKUP('Hide - Control'!A$3,'All practice data'!A:CA,C13+30,FALSE))</f>
        <v>0.06661310349864875</v>
      </c>
      <c r="I13" s="191">
        <f>IF(LEFT(G13,1)=" "," n/a",+((2*G13+1.96^2-1.96*SQRT(1.96^2+4*G13*(1-G13/E$8)))/(2*(E$8+1.96^2))))</f>
        <v>0.06255663873596934</v>
      </c>
      <c r="J13" s="191">
        <f>IF(LEFT(G13,1)=" "," n/a",+((2*G13+1.96^2+1.96*SQRT(1.96^2+4*G13*(1-G13/E$8)))/(2*(E$8+1.96^2))))</f>
        <v>0.07091271077443317</v>
      </c>
      <c r="K13" s="190">
        <f>IF('Hide - Calculation'!N7="","",'Hide - Calculation'!N7)</f>
        <v>0.15246466499496703</v>
      </c>
      <c r="L13" s="192">
        <f>'Hide - Calculation'!O7</f>
        <v>0.1599882305185145</v>
      </c>
      <c r="M13" s="208">
        <f>IF(ISBLANK('Hide - Calculation'!K7),"",'Hide - Calculation'!U7)</f>
        <v>0.035051897168159485</v>
      </c>
      <c r="N13" s="173"/>
      <c r="O13" s="173"/>
      <c r="P13" s="173"/>
      <c r="Q13" s="173"/>
      <c r="R13" s="173"/>
      <c r="S13" s="173"/>
      <c r="T13" s="173"/>
      <c r="U13" s="173"/>
      <c r="V13" s="173"/>
      <c r="W13" s="173"/>
      <c r="X13" s="173"/>
      <c r="Y13" s="173"/>
      <c r="Z13" s="173"/>
      <c r="AA13" s="226">
        <f>IF(ISBLANK('Hide - Calculation'!K7),"",'Hide - Calculation'!T7)</f>
        <v>0.2248888909816742</v>
      </c>
      <c r="AB13" s="233" t="s">
        <v>627</v>
      </c>
      <c r="AC13" s="209" t="s">
        <v>628</v>
      </c>
    </row>
    <row r="14" spans="2:29" ht="33.75" customHeight="1">
      <c r="B14" s="306"/>
      <c r="C14" s="137">
        <v>2</v>
      </c>
      <c r="D14" s="132" t="s">
        <v>521</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0.06</v>
      </c>
      <c r="I14" s="120">
        <f>IF(LEFT(G14,1)=" "," n/a",+((2*H14*E8+1.96^2-1.96*SQRT(1.96^2+4*H14*E8*(1-H14*E8/E$8)))/(2*(E$8+1.96^2))))</f>
        <v>0.05614394833532244</v>
      </c>
      <c r="J14" s="120">
        <f>IF(LEFT(G14,1)=" "," n/a",+((2*H14*E8+1.96^2+1.96*SQRT(1.96^2+4*H14*E8*(1-H14*E8/E$8)))/(2*(E$8+1.96^2))))</f>
        <v>0.06410290431903756</v>
      </c>
      <c r="K14" s="119">
        <f>IF('Hide - Calculation'!N8="","",'Hide - Calculation'!N8)</f>
        <v>0.08080106079467277</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0.23000000417232513</v>
      </c>
      <c r="AB14" s="234" t="s">
        <v>39</v>
      </c>
      <c r="AC14" s="130" t="s">
        <v>628</v>
      </c>
    </row>
    <row r="15" spans="2:39" s="63" customFormat="1" ht="33.75" customHeight="1">
      <c r="B15" s="306"/>
      <c r="C15" s="137">
        <v>3</v>
      </c>
      <c r="D15" s="132" t="s">
        <v>376</v>
      </c>
      <c r="E15" s="85"/>
      <c r="F15" s="85"/>
      <c r="G15" s="121">
        <f>IF(VLOOKUP('Hide - Control'!A$3,'All practice data'!A:CA,C15+4,FALSE)=" "," ",VLOOKUP('Hide - Control'!A$3,'All practice data'!A:CA,C15+4,FALSE))</f>
        <v>32</v>
      </c>
      <c r="H15" s="122">
        <f>IF(VLOOKUP('Hide - Control'!A$3,'All practice data'!A:CA,C15+30,FALSE)=" "," ",VLOOKUP('Hide - Control'!A$3,'All practice data'!A:CA,C15+30,FALSE))</f>
        <v>233.73018771455702</v>
      </c>
      <c r="I15" s="123">
        <f>IF(LEFT(G15,1)=" "," n/a",IF(G15&lt;5,100000*VLOOKUP(G15,'Hide - Calculation'!AQ:AR,2,FALSE)/$E$8,100000*(G15*(1-1/(9*G15)-1.96/(3*SQRT(G15)))^3)/$E$8))</f>
        <v>159.84252298820553</v>
      </c>
      <c r="J15" s="123">
        <f>IF(LEFT(G15,1)=" "," n/a",IF(G15&lt;5,100000*VLOOKUP(G15,'Hide - Calculation'!AQ:AS,3,FALSE)/$E$8,100000*((G15+1)*(1-1/(9*(G15+1))+1.96/(3*SQRT(G15+1)))^3)/$E$8))</f>
        <v>329.9700882934556</v>
      </c>
      <c r="K15" s="122">
        <f>IF('Hide - Calculation'!N9="","",'Hide - Calculation'!N9)</f>
        <v>439.2678670343612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825.3095092773438</v>
      </c>
      <c r="AB15" s="234" t="s">
        <v>491</v>
      </c>
      <c r="AC15" s="131">
        <v>2009</v>
      </c>
      <c r="AD15" s="64"/>
      <c r="AE15" s="64"/>
      <c r="AF15" s="64"/>
      <c r="AG15" s="64"/>
      <c r="AH15" s="64"/>
      <c r="AI15" s="64"/>
      <c r="AJ15" s="64"/>
      <c r="AK15" s="64"/>
      <c r="AL15" s="64"/>
      <c r="AM15" s="64"/>
    </row>
    <row r="16" spans="2:29" s="63" customFormat="1" ht="33.75" customHeight="1">
      <c r="B16" s="306"/>
      <c r="C16" s="137">
        <v>4</v>
      </c>
      <c r="D16" s="132" t="s">
        <v>513</v>
      </c>
      <c r="E16" s="85"/>
      <c r="F16" s="85"/>
      <c r="G16" s="121">
        <f>IF(VLOOKUP('Hide - Control'!A$3,'All practice data'!A:CA,C16+4,FALSE)=" "," ",VLOOKUP('Hide - Control'!A$3,'All practice data'!A:CA,C16+4,FALSE))</f>
        <v>13</v>
      </c>
      <c r="H16" s="122">
        <f>IF(VLOOKUP('Hide - Control'!A$3,'All practice data'!A:CA,C16+30,FALSE)=" "," ",VLOOKUP('Hide - Control'!A$3,'All practice data'!A:CA,C16+30,FALSE))</f>
        <v>94.95288875903879</v>
      </c>
      <c r="I16" s="123">
        <f>IF(LEFT(G16,1)=" "," n/a",IF(G16&lt;5,100000*VLOOKUP(G16,'Hide - Calculation'!AQ:AR,2,FALSE)/$E$8,100000*(G16*(1-1/(9*G16)-1.96/(3*SQRT(G16)))^3)/$E$8))</f>
        <v>50.5087699456908</v>
      </c>
      <c r="J16" s="123">
        <f>IF(LEFT(G16,1)=" "," n/a",IF(G16&lt;5,100000*VLOOKUP(G16,'Hide - Calculation'!AQ:AS,3,FALSE)/$E$8,100000*((G16+1)*(1-1/(9*(G16+1))+1.96/(3*SQRT(G16+1)))^3)/$E$8))</f>
        <v>162.3833936984324</v>
      </c>
      <c r="K16" s="122">
        <f>IF('Hide - Calculation'!N10="","",'Hide - Calculation'!N10)</f>
        <v>230.65285628346626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687.7579345703125</v>
      </c>
      <c r="AB16" s="234" t="s">
        <v>370</v>
      </c>
      <c r="AC16" s="131" t="s">
        <v>545</v>
      </c>
    </row>
    <row r="17" spans="2:29" s="63" customFormat="1" ht="33.75" customHeight="1" thickBot="1">
      <c r="B17" s="309"/>
      <c r="C17" s="180">
        <v>5</v>
      </c>
      <c r="D17" s="195" t="s">
        <v>375</v>
      </c>
      <c r="E17" s="182"/>
      <c r="F17" s="182"/>
      <c r="G17" s="140">
        <f>IF(VLOOKUP('Hide - Control'!A$3,'All practice data'!A:CA,C17+4,FALSE)=" "," ",VLOOKUP('Hide - Control'!A$3,'All practice data'!A:CA,C17+4,FALSE))</f>
        <v>131</v>
      </c>
      <c r="H17" s="141">
        <f>IF(VLOOKUP('Hide - Control'!A$3,'All practice data'!A:CA,C17+30,FALSE)=" "," ",VLOOKUP('Hide - Control'!A$3,'All practice data'!A:CA,C17+30,FALSE))</f>
        <v>0.01</v>
      </c>
      <c r="I17" s="142">
        <f>IF(LEFT(G17,1)=" "," n/a",+((2*G17+1.96^2-1.96*SQRT(1.96^2+4*G17*(1-G17/E$8)))/(2*(E$8+1.96^2))))</f>
        <v>0.008069657454786043</v>
      </c>
      <c r="J17" s="142">
        <f>IF(LEFT(G17,1)=" "," n/a",+((2*G17+1.96^2+1.96*SQRT(1.96^2+4*G17*(1-G17/E$8)))/(2*(E$8+1.96^2))))</f>
        <v>0.011342147936230671</v>
      </c>
      <c r="K17" s="141">
        <f>IF('Hide - Calculation'!N11="","",'Hide - Calculation'!N11)</f>
        <v>0.01692446975156796</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0.027000000700354576</v>
      </c>
      <c r="AB17" s="235" t="s">
        <v>514</v>
      </c>
      <c r="AC17" s="189" t="s">
        <v>545</v>
      </c>
    </row>
    <row r="18" spans="2:29" s="63" customFormat="1" ht="33.75" customHeight="1">
      <c r="B18" s="308" t="s">
        <v>13</v>
      </c>
      <c r="C18" s="163">
        <v>6</v>
      </c>
      <c r="D18" s="164" t="s">
        <v>522</v>
      </c>
      <c r="E18" s="165"/>
      <c r="F18" s="165"/>
      <c r="G18" s="219">
        <f>IF(OR(VLOOKUP('Hide - Control'!A$3,'All practice data'!A:CA,C18+4,FALSE)=" ",VLOOKUP('Hide - Control'!A$3,'All practice data'!A:CA,C18+52,FALSE)=0)," n/a",VLOOKUP('Hide - Control'!A$3,'All practice data'!A:CA,C18+4,FALSE))</f>
        <v>562</v>
      </c>
      <c r="H18" s="220">
        <f>IF(OR(VLOOKUP('Hide - Control'!A$3,'All practice data'!A:CA,C18+30,FALSE)=" ",VLOOKUP('Hide - Control'!A$3,'All practice data'!A:CA,C18+52,FALSE)=0)," n/a",VLOOKUP('Hide - Control'!A$3,'All practice data'!A:CA,C18+30,FALSE))</f>
        <v>0.673054</v>
      </c>
      <c r="I18" s="191">
        <f>IF(OR(LEFT(H18,1)=" ",VLOOKUP('Hide - Control'!A$3,'All practice data'!A:CA,C18+52,FALSE)=0)," n/a",+((2*G18+1.96^2-1.96*SQRT(1.96^2+4*G18*(1-G18/(VLOOKUP('Hide - Control'!A$3,'All practice data'!A:CA,C18+52,FALSE)))))/(2*(((VLOOKUP('Hide - Control'!A$3,'All practice data'!A:CA,C18+52,FALSE)))+1.96^2))))</f>
        <v>0.6405061996551915</v>
      </c>
      <c r="J18" s="191">
        <f>IF(OR(LEFT(H18,1)=" ",VLOOKUP('Hide - Control'!A$3,'All practice data'!A:CA,C18+52,FALSE)=0)," n/a",+((2*G18+1.96^2+1.96*SQRT(1.96^2+4*G18*(1-G18/(VLOOKUP('Hide - Control'!A$3,'All practice data'!A:CA,C18+52,FALSE)))))/(2*((VLOOKUP('Hide - Control'!A$3,'All practice data'!A:CA,C18+52,FALSE))+1.96^2))))</f>
        <v>0.7040165326461154</v>
      </c>
      <c r="K18" s="220">
        <f>IF('Hide - Calculation'!N12="","",'Hide - Calculation'!N12)</f>
        <v>0.7389670239186156</v>
      </c>
      <c r="L18" s="192">
        <f>'Hide - Calculation'!O12</f>
        <v>0.7248631360507991</v>
      </c>
      <c r="M18" s="193">
        <f>IF(ISBLANK('Hide - Calculation'!K12),"",'Hide - Calculation'!U12)</f>
        <v>0.5567010045051575</v>
      </c>
      <c r="N18" s="194"/>
      <c r="O18" s="173"/>
      <c r="P18" s="173"/>
      <c r="Q18" s="173"/>
      <c r="R18" s="173"/>
      <c r="S18" s="173"/>
      <c r="T18" s="173"/>
      <c r="U18" s="173"/>
      <c r="V18" s="173"/>
      <c r="W18" s="173"/>
      <c r="X18" s="173"/>
      <c r="Y18" s="173"/>
      <c r="Z18" s="174"/>
      <c r="AA18" s="193">
        <f>IF(ISBLANK('Hide - Calculation'!K12),"",'Hide - Calculation'!T12)</f>
        <v>0.8455529808998108</v>
      </c>
      <c r="AB18" s="233" t="s">
        <v>48</v>
      </c>
      <c r="AC18" s="175" t="s">
        <v>546</v>
      </c>
    </row>
    <row r="19" spans="2:29" s="63" customFormat="1" ht="33.75" customHeight="1">
      <c r="B19" s="306"/>
      <c r="C19" s="137">
        <v>7</v>
      </c>
      <c r="D19" s="132" t="s">
        <v>523</v>
      </c>
      <c r="E19" s="85"/>
      <c r="F19" s="85"/>
      <c r="G19" s="221">
        <f>IF(OR(VLOOKUP('Hide - Control'!A$3,'All practice data'!A:CA,C19+4,FALSE)=" ",VLOOKUP('Hide - Control'!A$3,'All practice data'!A:CA,C19+52,FALSE)=0)," n/a",VLOOKUP('Hide - Control'!A$3,'All practice data'!A:CA,C19+4,FALSE))</f>
        <v>6</v>
      </c>
      <c r="H19" s="218">
        <f>IF(OR(VLOOKUP('Hide - Control'!A$3,'All practice data'!A:CA,C19+30,FALSE)=" ",VLOOKUP('Hide - Control'!A$3,'All practice data'!A:CA,C19+52,FALSE)=0)," n/a",VLOOKUP('Hide - Control'!A$3,'All practice data'!A:CA,C19+30,FALSE))</f>
        <v>0.4</v>
      </c>
      <c r="I19" s="120">
        <f>IF(OR(LEFT(H19,1)=" ",VLOOKUP('Hide - Control'!A$3,'All practice data'!A:CA,C19+52,FALSE)=0)," n/a",+((2*G19+1.96^2-1.96*SQRT(1.96^2+4*G19*(1-G19/(VLOOKUP('Hide - Control'!A$3,'All practice data'!A:CA,C19+52,FALSE)))))/(2*(((VLOOKUP('Hide - Control'!A$3,'All practice data'!A:CA,C19+52,FALSE)))+1.96^2))))</f>
        <v>0.19824228082594664</v>
      </c>
      <c r="J19" s="120">
        <f>IF(OR(LEFT(H19,1)=" ",VLOOKUP('Hide - Control'!A$3,'All practice data'!A:CA,C19+52,FALSE)=0)," n/a",+((2*G19+1.96^2+1.96*SQRT(1.96^2+4*G19*(1-G19/(VLOOKUP('Hide - Control'!A$3,'All practice data'!A:CA,C19+52,FALSE)))))/(2*((VLOOKUP('Hide - Control'!A$3,'All practice data'!A:CA,C19+52,FALSE))+1.96^2))))</f>
        <v>0.6425355724349229</v>
      </c>
      <c r="K19" s="218">
        <f>IF('Hide - Calculation'!N13="","",'Hide - Calculation'!N13)</f>
        <v>0.7763530146599552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0.8524690270423889</v>
      </c>
      <c r="AB19" s="234" t="s">
        <v>48</v>
      </c>
      <c r="AC19" s="131" t="s">
        <v>545</v>
      </c>
    </row>
    <row r="20" spans="2:29" s="63" customFormat="1" ht="33.75" customHeight="1">
      <c r="B20" s="306"/>
      <c r="C20" s="137">
        <v>8</v>
      </c>
      <c r="D20" s="132" t="s">
        <v>524</v>
      </c>
      <c r="E20" s="85"/>
      <c r="F20" s="85"/>
      <c r="G20" s="221">
        <f>IF(OR(VLOOKUP('Hide - Control'!A$3,'All practice data'!A:CA,C20+4,FALSE)=" ",VLOOKUP('Hide - Control'!A$3,'All practice data'!A:CA,C20+52,FALSE)=0)," n/a",VLOOKUP('Hide - Control'!A$3,'All practice data'!A:CA,C20+4,FALSE))</f>
        <v>1851</v>
      </c>
      <c r="H20" s="218">
        <f>IF(OR(VLOOKUP('Hide - Control'!A$3,'All practice data'!A:CA,C20+30,FALSE)=" ",VLOOKUP('Hide - Control'!A$3,'All practice data'!A:CA,C20+52,FALSE)=0)," n/a",VLOOKUP('Hide - Control'!A$3,'All practice data'!A:CA,C20+30,FALSE))</f>
        <v>0.609282</v>
      </c>
      <c r="I20" s="120">
        <f>IF(OR(LEFT(H20,1)=" ",VLOOKUP('Hide - Control'!A$3,'All practice data'!A:CA,C20+52,FALSE)=0)," n/a",+((2*G20+1.96^2-1.96*SQRT(1.96^2+4*G20*(1-G20/(VLOOKUP('Hide - Control'!A$3,'All practice data'!A:CA,C20+52,FALSE)))))/(2*(((VLOOKUP('Hide - Control'!A$3,'All practice data'!A:CA,C20+52,FALSE)))+1.96^2))))</f>
        <v>0.5918046777888722</v>
      </c>
      <c r="J20" s="120">
        <f>IF(OR(LEFT(H20,1)=" ",VLOOKUP('Hide - Control'!A$3,'All practice data'!A:CA,C20+52,FALSE)=0)," n/a",+((2*G20+1.96^2+1.96*SQRT(1.96^2+4*G20*(1-G20/(VLOOKUP('Hide - Control'!A$3,'All practice data'!A:CA,C20+52,FALSE)))))/(2*((VLOOKUP('Hide - Control'!A$3,'All practice data'!A:CA,C20+52,FALSE))+1.96^2))))</f>
        <v>0.6264841377760144</v>
      </c>
      <c r="K20" s="218">
        <f>IF('Hide - Calculation'!N14="","",'Hide - Calculation'!N14)</f>
        <v>0.7613228672557848</v>
      </c>
      <c r="L20" s="155">
        <f>'Hide - Calculation'!O14</f>
        <v>0.7559681673907895</v>
      </c>
      <c r="M20" s="152">
        <f>IF(ISBLANK('Hide - Calculation'!K14),"",'Hide - Calculation'!U14)</f>
        <v>0.5596330165863037</v>
      </c>
      <c r="N20" s="160"/>
      <c r="O20" s="84"/>
      <c r="P20" s="84"/>
      <c r="Q20" s="84"/>
      <c r="R20" s="84"/>
      <c r="S20" s="84"/>
      <c r="T20" s="84"/>
      <c r="U20" s="84"/>
      <c r="V20" s="84"/>
      <c r="W20" s="84"/>
      <c r="X20" s="84"/>
      <c r="Y20" s="84"/>
      <c r="Z20" s="88"/>
      <c r="AA20" s="152">
        <f>IF(ISBLANK('Hide - Calculation'!K14),"",'Hide - Calculation'!T14)</f>
        <v>0.8563920259475708</v>
      </c>
      <c r="AB20" s="234" t="s">
        <v>48</v>
      </c>
      <c r="AC20" s="131" t="s">
        <v>547</v>
      </c>
    </row>
    <row r="21" spans="2:29" s="63" customFormat="1" ht="33.75" customHeight="1">
      <c r="B21" s="306"/>
      <c r="C21" s="137">
        <v>9</v>
      </c>
      <c r="D21" s="132" t="s">
        <v>525</v>
      </c>
      <c r="E21" s="85"/>
      <c r="F21" s="85"/>
      <c r="G21" s="221">
        <f>IF(OR(VLOOKUP('Hide - Control'!A$3,'All practice data'!A:CA,C21+4,FALSE)=" ",VLOOKUP('Hide - Control'!A$3,'All practice data'!A:CA,C21+52,FALSE)=0)," n/a",VLOOKUP('Hide - Control'!A$3,'All practice data'!A:CA,C21+4,FALSE))</f>
        <v>213</v>
      </c>
      <c r="H21" s="218">
        <f>IF(OR(VLOOKUP('Hide - Control'!A$3,'All practice data'!A:CA,C21+30,FALSE)=" ",VLOOKUP('Hide - Control'!A$3,'All practice data'!A:CA,C21+52,FALSE)=0)," n/a",VLOOKUP('Hide - Control'!A$3,'All practice data'!A:CA,C21+30,FALSE))</f>
        <v>0.299578</v>
      </c>
      <c r="I21" s="120">
        <f>IF(OR(LEFT(H21,1)=" ",VLOOKUP('Hide - Control'!A$3,'All practice data'!A:CA,C21+52,FALSE)=0)," n/a",+((2*G21+1.96^2-1.96*SQRT(1.96^2+4*G21*(1-G21/(VLOOKUP('Hide - Control'!A$3,'All practice data'!A:CA,C21+52,FALSE)))))/(2*(((VLOOKUP('Hide - Control'!A$3,'All practice data'!A:CA,C21+52,FALSE)))+1.96^2))))</f>
        <v>0.2670574560197354</v>
      </c>
      <c r="J21" s="120">
        <f>IF(OR(LEFT(H21,1)=" ",VLOOKUP('Hide - Control'!A$3,'All practice data'!A:CA,C21+52,FALSE)=0)," n/a",+((2*G21+1.96^2+1.96*SQRT(1.96^2+4*G21*(1-G21/(VLOOKUP('Hide - Control'!A$3,'All practice data'!A:CA,C21+52,FALSE)))))/(2*((VLOOKUP('Hide - Control'!A$3,'All practice data'!A:CA,C21+52,FALSE))+1.96^2))))</f>
        <v>0.3342528202708442</v>
      </c>
      <c r="K21" s="218">
        <f>IF('Hide - Calculation'!N15="","",'Hide - Calculation'!N15)</f>
        <v>0.34236772994186904</v>
      </c>
      <c r="L21" s="155">
        <f>'Hide - Calculation'!O15</f>
        <v>0.5147293797466616</v>
      </c>
      <c r="M21" s="152">
        <f>IF(ISBLANK('Hide - Calculation'!K15),"",'Hide - Calculation'!U15)</f>
        <v>0.14222200214862823</v>
      </c>
      <c r="N21" s="160"/>
      <c r="O21" s="84"/>
      <c r="P21" s="84"/>
      <c r="Q21" s="84"/>
      <c r="R21" s="84"/>
      <c r="S21" s="84"/>
      <c r="T21" s="84"/>
      <c r="U21" s="84"/>
      <c r="V21" s="84"/>
      <c r="W21" s="84"/>
      <c r="X21" s="84"/>
      <c r="Y21" s="84"/>
      <c r="Z21" s="88"/>
      <c r="AA21" s="152">
        <f>IF(ISBLANK('Hide - Calculation'!K15),"",'Hide - Calculation'!T15)</f>
        <v>0.4280189871788025</v>
      </c>
      <c r="AB21" s="234" t="s">
        <v>48</v>
      </c>
      <c r="AC21" s="131" t="s">
        <v>546</v>
      </c>
    </row>
    <row r="22" spans="2:29" s="63" customFormat="1" ht="33.75" customHeight="1" thickBot="1">
      <c r="B22" s="309"/>
      <c r="C22" s="180">
        <v>10</v>
      </c>
      <c r="D22" s="195" t="s">
        <v>526</v>
      </c>
      <c r="E22" s="182"/>
      <c r="F22" s="182"/>
      <c r="G22" s="222">
        <f>IF(OR(VLOOKUP('Hide - Control'!A$3,'All practice data'!A:CA,C22+4,FALSE)=" ",VLOOKUP('Hide - Control'!A$3,'All practice data'!A:CA,C22+52,FALSE)=0)," n/a",VLOOKUP('Hide - Control'!A$3,'All practice data'!A:CA,C22+4,FALSE))</f>
        <v>236</v>
      </c>
      <c r="H22" s="223">
        <f>IF(OR(VLOOKUP('Hide - Control'!A$3,'All practice data'!A:CA,C22+30,FALSE)=" ",VLOOKUP('Hide - Control'!A$3,'All practice data'!A:CA,C22+52,FALSE)=0)," n/a",VLOOKUP('Hide - Control'!A$3,'All practice data'!A:CA,C22+30,FALSE))</f>
        <v>0.553991</v>
      </c>
      <c r="I22" s="196">
        <f>IF(OR(LEFT(H22,1)=" ",VLOOKUP('Hide - Control'!A$3,'All practice data'!A:CA,C22+52,FALSE)=0)," n/a",+((2*G22+1.96^2-1.96*SQRT(1.96^2+4*G22*(1-G22/(VLOOKUP('Hide - Control'!A$3,'All practice data'!A:CA,C22+52,FALSE)))))/(2*(((VLOOKUP('Hide - Control'!A$3,'All practice data'!A:CA,C22+52,FALSE)))+1.96^2))))</f>
        <v>0.5065134841758763</v>
      </c>
      <c r="J22" s="196">
        <f>IF(OR(LEFT(H22,1)=" ",VLOOKUP('Hide - Control'!A$3,'All practice data'!A:CA,C22+52,FALSE)=0)," n/a",+((2*G22+1.96^2+1.96*SQRT(1.96^2+4*G22*(1-G22/(VLOOKUP('Hide - Control'!A$3,'All practice data'!A:CA,C22+52,FALSE)))))/(2*((VLOOKUP('Hide - Control'!A$3,'All practice data'!A:CA,C22+52,FALSE))+1.96^2))))</f>
        <v>0.6005026817792104</v>
      </c>
      <c r="K22" s="223">
        <f>IF('Hide - Calculation'!N16="","",'Hide - Calculation'!N16)</f>
        <v>0.5628438964744243</v>
      </c>
      <c r="L22" s="197">
        <f>'Hide - Calculation'!O16</f>
        <v>0.5752927626212945</v>
      </c>
      <c r="M22" s="198">
        <f>IF(ISBLANK('Hide - Calculation'!K16),"",'Hide - Calculation'!U16)</f>
        <v>0.33333298563957214</v>
      </c>
      <c r="N22" s="199"/>
      <c r="O22" s="91"/>
      <c r="P22" s="91"/>
      <c r="Q22" s="91"/>
      <c r="R22" s="91"/>
      <c r="S22" s="91"/>
      <c r="T22" s="91"/>
      <c r="U22" s="91"/>
      <c r="V22" s="91"/>
      <c r="W22" s="91"/>
      <c r="X22" s="91"/>
      <c r="Y22" s="91"/>
      <c r="Z22" s="188"/>
      <c r="AA22" s="198">
        <f>IF(ISBLANK('Hide - Calculation'!K16),"",'Hide - Calculation'!T16)</f>
        <v>0.6855040192604065</v>
      </c>
      <c r="AB22" s="235" t="s">
        <v>48</v>
      </c>
      <c r="AC22" s="189" t="s">
        <v>545</v>
      </c>
    </row>
    <row r="23" spans="2:29" s="63" customFormat="1" ht="33.75" customHeight="1">
      <c r="B23" s="308" t="s">
        <v>365</v>
      </c>
      <c r="C23" s="163">
        <v>11</v>
      </c>
      <c r="D23" s="179" t="s">
        <v>377</v>
      </c>
      <c r="E23" s="165"/>
      <c r="F23" s="165"/>
      <c r="G23" s="118">
        <f>IF(VLOOKUP('Hide - Control'!A$3,'All practice data'!A:CA,C23+4,FALSE)=" "," ",VLOOKUP('Hide - Control'!A$3,'All practice data'!A:CA,C23+4,FALSE))</f>
        <v>148</v>
      </c>
      <c r="H23" s="216">
        <f>IF(VLOOKUP('Hide - Control'!A$3,'All practice data'!A:CA,C23+30,FALSE)=" "," ",VLOOKUP('Hide - Control'!A$3,'All practice data'!A:CA,C23+30,FALSE))</f>
        <v>1081.002118179826</v>
      </c>
      <c r="I23" s="215">
        <f>IF(LEFT(G23,1)=" "," n/a",IF(G23&lt;5,100000*VLOOKUP(G23,'Hide - Calculation'!AQ:AR,2,FALSE)/$E$8,100000*(G23*(1-1/(9*G23)-1.96/(3*SQRT(G23)))^3)/$E$8))</f>
        <v>913.8479702098008</v>
      </c>
      <c r="J23" s="215">
        <f>IF(LEFT(G23,1)=" "," n/a",IF(G23&lt;5,100000*VLOOKUP(G23,'Hide - Calculation'!AQ:AS,3,FALSE)/$E$8,100000*((G23+1)*(1-1/(9*(G23+1))+1.96/(3*SQRT(G23+1)))^3)/$E$8))</f>
        <v>1269.874515152283</v>
      </c>
      <c r="K23" s="216">
        <f>IF('Hide - Calculation'!N17="","",'Hide - Calculation'!N17)</f>
        <v>1763.3254513291204</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3287.380615234375</v>
      </c>
      <c r="AB23" s="233" t="s">
        <v>26</v>
      </c>
      <c r="AC23" s="175" t="s">
        <v>545</v>
      </c>
    </row>
    <row r="24" spans="2:29" s="63" customFormat="1" ht="33.75" customHeight="1">
      <c r="B24" s="306"/>
      <c r="C24" s="137">
        <v>12</v>
      </c>
      <c r="D24" s="147" t="s">
        <v>532</v>
      </c>
      <c r="E24" s="85"/>
      <c r="F24" s="85"/>
      <c r="G24" s="118">
        <f>IF(VLOOKUP('Hide - Control'!A$3,'All practice data'!A:CA,C24+4,FALSE)=" "," ",VLOOKUP('Hide - Control'!A$3,'All practice data'!A:CA,C24+4,FALSE))</f>
        <v>148</v>
      </c>
      <c r="H24" s="119">
        <f>IF(VLOOKUP('Hide - Control'!A$3,'All practice data'!A:CA,C24+30,FALSE)=" "," ",VLOOKUP('Hide - Control'!A$3,'All practice data'!A:CA,C24+30,FALSE))</f>
        <v>0.9268218231</v>
      </c>
      <c r="I24" s="212">
        <f>IF(LEFT(VLOOKUP('Hide - Control'!A$3,'All practice data'!A:CA,C24+44,FALSE),1)=" "," n/a",VLOOKUP('Hide - Control'!A$3,'All practice data'!A:CA,C24+44,FALSE))</f>
        <v>0.7835202026</v>
      </c>
      <c r="J24" s="212">
        <f>IF(LEFT(VLOOKUP('Hide - Control'!A$3,'All practice data'!A:CA,C24+45,FALSE),1)=" "," n/a",VLOOKUP('Hide - Control'!A$3,'All practice data'!A:CA,C24+45,FALSE))</f>
        <v>1.088746567</v>
      </c>
      <c r="K24" s="152" t="s">
        <v>632</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1.8242502212524414</v>
      </c>
      <c r="AB24" s="234" t="s">
        <v>26</v>
      </c>
      <c r="AC24" s="131" t="s">
        <v>545</v>
      </c>
    </row>
    <row r="25" spans="2:29" s="63" customFormat="1" ht="33.75" customHeight="1">
      <c r="B25" s="306"/>
      <c r="C25" s="137">
        <v>13</v>
      </c>
      <c r="D25" s="147" t="s">
        <v>372</v>
      </c>
      <c r="E25" s="85"/>
      <c r="F25" s="85"/>
      <c r="G25" s="118">
        <f>IF(VLOOKUP('Hide - Control'!A$3,'All practice data'!A:CA,C25+4,FALSE)=" "," ",VLOOKUP('Hide - Control'!A$3,'All practice data'!A:CA,C25+4,FALSE))</f>
        <v>9</v>
      </c>
      <c r="H25" s="119">
        <f>IF(VLOOKUP('Hide - Control'!A$3,'All practice data'!A:CA,C25+30,FALSE)=" "," ",VLOOKUP('Hide - Control'!A$3,'All practice data'!A:CA,C25+30,FALSE))</f>
        <v>0.060810810810810814</v>
      </c>
      <c r="I25" s="120">
        <f>IF(LEFT(G25,1)=" "," n/a",IF(G25=0," n/a",+((2*G25+1.96^2-1.96*SQRT(1.96^2+4*G25*(1-G25/G23)))/(2*(G23+1.96^2)))))</f>
        <v>0.03231898960293867</v>
      </c>
      <c r="J25" s="120">
        <f>IF(LEFT(G25,1)=" "," n/a",IF(G25=0," n/a",+((2*G25+1.96^2+1.96*SQRT(1.96^2+4*G25*(1-G25/G23)))/(2*(G23+1.96^2)))))</f>
        <v>0.11152564849360404</v>
      </c>
      <c r="K25" s="125">
        <f>IF('Hide - Calculation'!N19="","",'Hide - Calculation'!N19)</f>
        <v>0.1246411079209593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0.23076923191547394</v>
      </c>
      <c r="AB25" s="234" t="s">
        <v>26</v>
      </c>
      <c r="AC25" s="131" t="s">
        <v>545</v>
      </c>
    </row>
    <row r="26" spans="2:29" s="63" customFormat="1" ht="33.75" customHeight="1">
      <c r="B26" s="306"/>
      <c r="C26" s="137">
        <v>14</v>
      </c>
      <c r="D26" s="147" t="s">
        <v>515</v>
      </c>
      <c r="E26" s="85"/>
      <c r="F26" s="85"/>
      <c r="G26" s="121">
        <f>IF(VLOOKUP('Hide - Control'!A$3,'All practice data'!A:CA,C26+4,FALSE)=" "," ",VLOOKUP('Hide - Control'!A$3,'All practice data'!A:CA,C26+4,FALSE))</f>
        <v>17</v>
      </c>
      <c r="H26" s="119">
        <f>IF(VLOOKUP('Hide - Control'!A$3,'All practice data'!A:CA,C26+30,FALSE)=" "," ",VLOOKUP('Hide - Control'!A$3,'All practice data'!A:CA,C26+30,FALSE))</f>
        <v>0.5294117647058824</v>
      </c>
      <c r="I26" s="120">
        <f>IF(OR(LEFT(G26,1)=" ",LEFT(G25,1)=" ")," n/a",IF(G26=0," n/a",+((2*G25+1.96^2-1.96*SQRT(1.96^2+4*G25*(1-G25/G26)))/(2*(G26+1.96^2)))))</f>
        <v>0.3096289731154949</v>
      </c>
      <c r="J26" s="120">
        <f>IF(OR(LEFT(G26,1)=" ",LEFT(G25,1)=" ")," n/a",IF(G26=0," n/a",+((2*G25+1.96^2+1.96*SQRT(1.96^2+4*G25*(1-G25/G26)))/(2*(G26+1.96^2)))))</f>
        <v>0.738351988039119</v>
      </c>
      <c r="K26" s="125">
        <f>IF('Hide - Calculation'!N20="","",'Hide - Calculation'!N20)</f>
        <v>0.6160267111853088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0.8529411554336548</v>
      </c>
      <c r="AB26" s="234" t="s">
        <v>26</v>
      </c>
      <c r="AC26" s="131" t="s">
        <v>545</v>
      </c>
    </row>
    <row r="27" spans="2:29" s="63" customFormat="1" ht="33.75" customHeight="1">
      <c r="B27" s="306"/>
      <c r="C27" s="137">
        <v>15</v>
      </c>
      <c r="D27" s="147" t="s">
        <v>502</v>
      </c>
      <c r="E27" s="85"/>
      <c r="F27" s="85"/>
      <c r="G27" s="121">
        <f>IF(VLOOKUP('Hide - Control'!A$3,'All practice data'!A:CA,C27+4,FALSE)=" "," ",VLOOKUP('Hide - Control'!A$3,'All practice data'!A:CA,C27+4,FALSE))</f>
        <v>24</v>
      </c>
      <c r="H27" s="122">
        <f>IF(VLOOKUP('Hide - Control'!A$3,'All practice data'!A:CA,C27+30,FALSE)=" "," ",VLOOKUP('Hide - Control'!A$3,'All practice data'!A:CA,C27+30,FALSE))</f>
        <v>175.29764078591776</v>
      </c>
      <c r="I27" s="123">
        <f>IF(LEFT(G27,1)=" "," n/a",IF(G27&lt;5,100000*VLOOKUP(G27,'Hide - Calculation'!AQ:AR,2,FALSE)/$E$8,100000*(G27*(1-1/(9*G27)-1.96/(3*SQRT(G27)))^3)/$E$8))</f>
        <v>112.28244682462633</v>
      </c>
      <c r="J27" s="123">
        <f>IF(LEFT(G27,1)=" "," n/a",IF(G27&lt;5,100000*VLOOKUP(G27,'Hide - Calculation'!AQ:AS,3,FALSE)/$E$8,100000*((G27+1)*(1-1/(9*(G27+1))+1.96/(3*SQRT(G27+1)))^3)/$E$8))</f>
        <v>260.8417561705601</v>
      </c>
      <c r="K27" s="122">
        <f>IF('Hide - Calculation'!N21="","",'Hide - Calculation'!N21)</f>
        <v>400.55273299065476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785.9949951171875</v>
      </c>
      <c r="AB27" s="234" t="s">
        <v>26</v>
      </c>
      <c r="AC27" s="131" t="s">
        <v>545</v>
      </c>
    </row>
    <row r="28" spans="2:29" s="63" customFormat="1" ht="33.75" customHeight="1">
      <c r="B28" s="306"/>
      <c r="C28" s="137">
        <v>16</v>
      </c>
      <c r="D28" s="147" t="s">
        <v>503</v>
      </c>
      <c r="E28" s="85"/>
      <c r="F28" s="85"/>
      <c r="G28" s="121">
        <f>IF(VLOOKUP('Hide - Control'!A$3,'All practice data'!A:CA,C28+4,FALSE)=" "," ",VLOOKUP('Hide - Control'!A$3,'All practice data'!A:CA,C28+4,FALSE))</f>
        <v>32</v>
      </c>
      <c r="H28" s="122">
        <f>IF(VLOOKUP('Hide - Control'!A$3,'All practice data'!A:CA,C28+30,FALSE)=" "," ",VLOOKUP('Hide - Control'!A$3,'All practice data'!A:CA,C28+30,FALSE))</f>
        <v>233.73018771455702</v>
      </c>
      <c r="I28" s="123">
        <f>IF(LEFT(G28,1)=" "," n/a",IF(G28&lt;5,100000*VLOOKUP(G28,'Hide - Calculation'!AQ:AR,2,FALSE)/$E$8,100000*(G28*(1-1/(9*G28)-1.96/(3*SQRT(G28)))^3)/$E$8))</f>
        <v>159.84252298820553</v>
      </c>
      <c r="J28" s="123">
        <f>IF(LEFT(G28,1)=" "," n/a",IF(G28&lt;5,100000*VLOOKUP(G28,'Hide - Calculation'!AQ:AS,3,FALSE)/$E$8,100000*((G28+1)*(1-1/(9*(G28+1))+1.96/(3*SQRT(G28+1)))^3)/$E$8))</f>
        <v>329.9700882934556</v>
      </c>
      <c r="K28" s="122">
        <f>IF('Hide - Calculation'!N22="","",'Hide - Calculation'!N22)</f>
        <v>314.3371075625547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962.861083984375</v>
      </c>
      <c r="AB28" s="234" t="s">
        <v>26</v>
      </c>
      <c r="AC28" s="131" t="s">
        <v>545</v>
      </c>
    </row>
    <row r="29" spans="2:29" s="63" customFormat="1" ht="33.75" customHeight="1">
      <c r="B29" s="306"/>
      <c r="C29" s="137">
        <v>17</v>
      </c>
      <c r="D29" s="147" t="s">
        <v>504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59.26393595921212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187.79342651367188</v>
      </c>
      <c r="AB29" s="234" t="s">
        <v>26</v>
      </c>
      <c r="AC29" s="131" t="s">
        <v>545</v>
      </c>
    </row>
    <row r="30" spans="2:29" s="63" customFormat="1" ht="33.75" customHeight="1" thickBot="1">
      <c r="B30" s="309"/>
      <c r="C30" s="180">
        <v>18</v>
      </c>
      <c r="D30" s="181" t="s">
        <v>505</v>
      </c>
      <c r="E30" s="182"/>
      <c r="F30" s="182"/>
      <c r="G30" s="183">
        <f>IF(VLOOKUP('Hide - Control'!A$3,'All practice data'!A:CA,C30+4,FALSE)=" "," ",VLOOKUP('Hide - Control'!A$3,'All practice data'!A:CA,C30+4,FALSE))</f>
        <v>39</v>
      </c>
      <c r="H30" s="184">
        <f>IF(VLOOKUP('Hide - Control'!A$3,'All practice data'!A:CA,C30+30,FALSE)=" "," ",VLOOKUP('Hide - Control'!A$3,'All practice data'!A:CA,C30+30,FALSE))</f>
        <v>284.85866627711636</v>
      </c>
      <c r="I30" s="185">
        <f>IF(LEFT(G30,1)=" "," n/a",IF(G30&lt;5,100000*VLOOKUP(G30,'Hide - Calculation'!AQ:AR,2,FALSE)/$E$8,100000*(G30*(1-1/(9*G30)-1.96/(3*SQRT(G30)))^3)/$E$8))</f>
        <v>202.53666343046987</v>
      </c>
      <c r="J30" s="185">
        <f>IF(LEFT(G30,1)=" "," n/a",IF(G30&lt;5,100000*VLOOKUP(G30,'Hide - Calculation'!AQ:AS,3,FALSE)/$E$8,100000*((G30+1)*(1-1/(9*(G30+1))+1.96/(3*SQRT(G30+1)))^3)/$E$8))</f>
        <v>389.42384205922286</v>
      </c>
      <c r="K30" s="184">
        <f>IF('Hide - Calculation'!N24="","",'Hide - Calculation'!N24)</f>
        <v>343.67126681874765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919.0631713867188</v>
      </c>
      <c r="AB30" s="235" t="s">
        <v>26</v>
      </c>
      <c r="AC30" s="189" t="s">
        <v>545</v>
      </c>
    </row>
    <row r="31" spans="2:29" s="63" customFormat="1" ht="33.75" customHeight="1">
      <c r="B31" s="304" t="s">
        <v>374</v>
      </c>
      <c r="C31" s="163">
        <v>19</v>
      </c>
      <c r="D31" s="164" t="s">
        <v>378</v>
      </c>
      <c r="E31" s="165"/>
      <c r="F31" s="165"/>
      <c r="G31" s="166">
        <f>IF(VLOOKUP('Hide - Control'!A$3,'All practice data'!A:CA,C31+4,FALSE)=" "," ",VLOOKUP('Hide - Control'!A$3,'All practice data'!A:CA,C31+4,FALSE))</f>
        <v>44</v>
      </c>
      <c r="H31" s="167">
        <f>IF(VLOOKUP('Hide - Control'!A$3,'All practice data'!A:CA,C31+30,FALSE)=" "," ",VLOOKUP('Hide - Control'!A$3,'All practice data'!A:CA,C31+30,FALSE))</f>
        <v>321.37900810751586</v>
      </c>
      <c r="I31" s="168">
        <f>IF(LEFT(G31,1)=" "," n/a",IF(G31&lt;5,100000*VLOOKUP(G31,'Hide - Calculation'!AQ:AR,2,FALSE)/$E$8,100000*(G31*(1-1/(9*G31)-1.96/(3*SQRT(G31)))^3)/$E$8))</f>
        <v>233.49044091982572</v>
      </c>
      <c r="J31" s="168">
        <f>IF(LEFT(G31,1)=" "," n/a",IF(G31&lt;5,100000*VLOOKUP(G31,'Hide - Calculation'!AQ:AS,3,FALSE)/$E$8,100000*((G31+1)*(1-1/(9*(G31+1))+1.96/(3*SQRT(G31+1)))^3)/$E$8))</f>
        <v>431.44885964707015</v>
      </c>
      <c r="K31" s="167">
        <f>IF('Hide - Calculation'!N25="","",'Hide - Calculation'!N25)</f>
        <v>628.5253107634029</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1262.3726806640625</v>
      </c>
      <c r="AB31" s="233" t="s">
        <v>47</v>
      </c>
      <c r="AC31" s="175" t="s">
        <v>545</v>
      </c>
    </row>
    <row r="32" spans="2:29" s="63" customFormat="1" ht="33.75" customHeight="1">
      <c r="B32" s="305"/>
      <c r="C32" s="137">
        <v>20</v>
      </c>
      <c r="D32" s="132" t="s">
        <v>379</v>
      </c>
      <c r="E32" s="85"/>
      <c r="F32" s="85"/>
      <c r="G32" s="121">
        <f>IF(VLOOKUP('Hide - Control'!A$3,'All practice data'!A:CA,C32+4,FALSE)=" "," ",VLOOKUP('Hide - Control'!A$3,'All practice data'!A:CA,C32+4,FALSE))</f>
        <v>15</v>
      </c>
      <c r="H32" s="122">
        <f>IF(VLOOKUP('Hide - Control'!A$3,'All practice data'!A:CA,C32+30,FALSE)=" "," ",VLOOKUP('Hide - Control'!A$3,'All practice data'!A:CA,C32+30,FALSE))</f>
        <v>109.56102549119859</v>
      </c>
      <c r="I32" s="123">
        <f>IF(LEFT(G32,1)=" "," n/a",IF(G32&lt;5,100000*VLOOKUP(G32,'Hide - Calculation'!AQ:AR,2,FALSE)/$E$8,100000*(G32*(1-1/(9*G32)-1.96/(3*SQRT(G32)))^3)/$E$8))</f>
        <v>61.27506629699387</v>
      </c>
      <c r="J32" s="123">
        <f>IF(LEFT(G32,1)=" "," n/a",IF(G32&lt;5,100000*VLOOKUP(G32,'Hide - Calculation'!AQ:AS,3,FALSE)/$E$8,100000*((G32+1)*(1-1/(9*(G32+1))+1.96/(3*SQRT(G32+1)))^3)/$E$8))</f>
        <v>180.71597390483814</v>
      </c>
      <c r="K32" s="122">
        <f>IF('Hide - Calculation'!N26="","",'Hide - Calculation'!N26)</f>
        <v>271.45265139106453</v>
      </c>
      <c r="L32" s="156">
        <f>'Hide - Calculation'!O26</f>
        <v>405.57105879375996</v>
      </c>
      <c r="M32" s="148">
        <f>IF(ISBLANK('Hide - Calculation'!K26),"",'Hide - Calculation'!U26)</f>
        <v>68.06193542480469</v>
      </c>
      <c r="N32" s="86"/>
      <c r="O32" s="87"/>
      <c r="P32" s="87"/>
      <c r="Q32" s="87"/>
      <c r="R32" s="84"/>
      <c r="S32" s="84"/>
      <c r="T32" s="84"/>
      <c r="U32" s="84"/>
      <c r="V32" s="84"/>
      <c r="W32" s="84"/>
      <c r="X32" s="84"/>
      <c r="Y32" s="84"/>
      <c r="Z32" s="88"/>
      <c r="AA32" s="148">
        <f>IF(ISBLANK('Hide - Calculation'!K26),"",'Hide - Calculation'!T26)</f>
        <v>730.2405395507812</v>
      </c>
      <c r="AB32" s="234" t="s">
        <v>47</v>
      </c>
      <c r="AC32" s="131" t="s">
        <v>545</v>
      </c>
    </row>
    <row r="33" spans="2:29" s="63" customFormat="1" ht="33.75" customHeight="1">
      <c r="B33" s="305"/>
      <c r="C33" s="137">
        <v>21</v>
      </c>
      <c r="D33" s="132" t="s">
        <v>381</v>
      </c>
      <c r="E33" s="85"/>
      <c r="F33" s="85"/>
      <c r="G33" s="121">
        <f>IF(VLOOKUP('Hide - Control'!A$3,'All practice data'!A:CA,C33+4,FALSE)=" "," ",VLOOKUP('Hide - Control'!A$3,'All practice data'!A:CA,C33+4,FALSE))</f>
        <v>48</v>
      </c>
      <c r="H33" s="122">
        <f>IF(VLOOKUP('Hide - Control'!A$3,'All practice data'!A:CA,C33+30,FALSE)=" "," ",VLOOKUP('Hide - Control'!A$3,'All practice data'!A:CA,C33+30,FALSE))</f>
        <v>350.5952815718355</v>
      </c>
      <c r="I33" s="123">
        <f>IF(LEFT(G33,1)=" "," n/a",IF(G33&lt;5,100000*VLOOKUP(G33,'Hide - Calculation'!AQ:AR,2,FALSE)/$E$8,100000*(G33*(1-1/(9*G33)-1.96/(3*SQRT(G33)))^3)/$E$8))</f>
        <v>258.4783513544585</v>
      </c>
      <c r="J33" s="123">
        <f>IF(LEFT(G33,1)=" "," n/a",IF(G33&lt;5,100000*VLOOKUP(G33,'Hide - Calculation'!AQ:AS,3,FALSE)/$E$8,100000*((G33+1)*(1-1/(9*(G33+1))+1.96/(3*SQRT(G33+1)))^3)/$E$8))</f>
        <v>464.85091463153634</v>
      </c>
      <c r="K33" s="122">
        <f>IF('Hide - Calculation'!N27="","",'Hide - Calculation'!N27)</f>
        <v>795.149291513047</v>
      </c>
      <c r="L33" s="156">
        <f>'Hide - Calculation'!O27</f>
        <v>1059.3522061277838</v>
      </c>
      <c r="M33" s="148">
        <f>IF(ISBLANK('Hide - Calculation'!K27),"",'Hide - Calculation'!U27)</f>
        <v>249.9553680419922</v>
      </c>
      <c r="N33" s="86"/>
      <c r="O33" s="87"/>
      <c r="P33" s="87"/>
      <c r="Q33" s="87"/>
      <c r="R33" s="84"/>
      <c r="S33" s="84"/>
      <c r="T33" s="84"/>
      <c r="U33" s="84"/>
      <c r="V33" s="84"/>
      <c r="W33" s="84"/>
      <c r="X33" s="84"/>
      <c r="Y33" s="84"/>
      <c r="Z33" s="88"/>
      <c r="AA33" s="148">
        <f>IF(ISBLANK('Hide - Calculation'!K27),"",'Hide - Calculation'!T27)</f>
        <v>1276.7177734375</v>
      </c>
      <c r="AB33" s="234" t="s">
        <v>47</v>
      </c>
      <c r="AC33" s="131" t="s">
        <v>545</v>
      </c>
    </row>
    <row r="34" spans="2:29" s="63" customFormat="1" ht="33.75" customHeight="1">
      <c r="B34" s="305"/>
      <c r="C34" s="137">
        <v>22</v>
      </c>
      <c r="D34" s="132" t="s">
        <v>380</v>
      </c>
      <c r="E34" s="85"/>
      <c r="F34" s="85"/>
      <c r="G34" s="118">
        <f>IF(VLOOKUP('Hide - Control'!A$3,'All practice data'!A:CA,C34+4,FALSE)=" "," ",VLOOKUP('Hide - Control'!A$3,'All practice data'!A:CA,C34+4,FALSE))</f>
        <v>32</v>
      </c>
      <c r="H34" s="122">
        <f>IF(VLOOKUP('Hide - Control'!A$3,'All practice data'!A:CA,C34+30,FALSE)=" "," ",VLOOKUP('Hide - Control'!A$3,'All practice data'!A:CA,C34+30,FALSE))</f>
        <v>233.73018771455702</v>
      </c>
      <c r="I34" s="123">
        <f>IF(LEFT(G34,1)=" "," n/a",IF(G34&lt;5,100000*VLOOKUP(G34,'Hide - Calculation'!AQ:AR,2,FALSE)/$E$8,100000*(G34*(1-1/(9*G34)-1.96/(3*SQRT(G34)))^3)/$E$8))</f>
        <v>159.84252298820553</v>
      </c>
      <c r="J34" s="123">
        <f>IF(LEFT(G34,1)=" "," n/a",IF(G34&lt;5,100000*VLOOKUP(G34,'Hide - Calculation'!AQ:AS,3,FALSE)/$E$8,100000*((G34+1)*(1-1/(9*(G34+1))+1.96/(3*SQRT(G34+1)))^3)/$E$8))</f>
        <v>329.9700882934556</v>
      </c>
      <c r="K34" s="122">
        <f>IF('Hide - Calculation'!N28="","",'Hide - Calculation'!N28)</f>
        <v>547.5213379950326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1100.41259765625</v>
      </c>
      <c r="AB34" s="234" t="s">
        <v>47</v>
      </c>
      <c r="AC34" s="131" t="s">
        <v>545</v>
      </c>
    </row>
    <row r="35" spans="2:29" s="63" customFormat="1" ht="33.75" customHeight="1">
      <c r="B35" s="305"/>
      <c r="C35" s="137">
        <v>23</v>
      </c>
      <c r="D35" s="138" t="s">
        <v>506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366</v>
      </c>
      <c r="AC35" s="131">
        <v>2008</v>
      </c>
    </row>
    <row r="36" spans="2:29" ht="33.75" customHeight="1">
      <c r="B36" s="306"/>
      <c r="C36" s="137">
        <v>24</v>
      </c>
      <c r="D36" s="224" t="s">
        <v>507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366</v>
      </c>
      <c r="AC36" s="131">
        <v>2008</v>
      </c>
    </row>
    <row r="37" spans="2:29" ht="33.75" customHeight="1" thickBot="1">
      <c r="B37" s="307"/>
      <c r="C37" s="176">
        <v>25</v>
      </c>
      <c r="D37" s="177" t="s">
        <v>382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366</v>
      </c>
      <c r="AC37" s="149">
        <v>2008</v>
      </c>
    </row>
    <row r="38" spans="2:29" ht="16.5" customHeight="1">
      <c r="B38" s="69"/>
      <c r="C38" s="69"/>
      <c r="D38" s="65" t="s">
        <v>364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631</v>
      </c>
      <c r="C39" s="244"/>
      <c r="D39" s="244"/>
      <c r="E39" s="303" t="s">
        <v>635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531</v>
      </c>
      <c r="BE2" s="341"/>
      <c r="BF2" s="341"/>
      <c r="BG2" s="341"/>
      <c r="BH2" s="341"/>
      <c r="BI2" s="341"/>
      <c r="BJ2" s="342"/>
    </row>
    <row r="3" spans="1:82" s="72" customFormat="1" ht="76.5" customHeight="1">
      <c r="A3" s="266" t="s">
        <v>276</v>
      </c>
      <c r="B3" s="275" t="s">
        <v>277</v>
      </c>
      <c r="C3" s="276" t="s">
        <v>49</v>
      </c>
      <c r="D3" s="274" t="s">
        <v>516</v>
      </c>
      <c r="E3" s="267" t="s">
        <v>388</v>
      </c>
      <c r="F3" s="267" t="s">
        <v>499</v>
      </c>
      <c r="G3" s="267" t="s">
        <v>390</v>
      </c>
      <c r="H3" s="267" t="s">
        <v>391</v>
      </c>
      <c r="I3" s="267" t="s">
        <v>392</v>
      </c>
      <c r="J3" s="267" t="s">
        <v>540</v>
      </c>
      <c r="K3" s="267" t="s">
        <v>541</v>
      </c>
      <c r="L3" s="267" t="s">
        <v>542</v>
      </c>
      <c r="M3" s="267" t="s">
        <v>393</v>
      </c>
      <c r="N3" s="267" t="s">
        <v>394</v>
      </c>
      <c r="O3" s="267" t="s">
        <v>395</v>
      </c>
      <c r="P3" s="267" t="s">
        <v>530</v>
      </c>
      <c r="Q3" s="267" t="s">
        <v>396</v>
      </c>
      <c r="R3" s="267" t="s">
        <v>397</v>
      </c>
      <c r="S3" s="267" t="s">
        <v>398</v>
      </c>
      <c r="T3" s="267" t="s">
        <v>399</v>
      </c>
      <c r="U3" s="267" t="s">
        <v>400</v>
      </c>
      <c r="V3" s="267" t="s">
        <v>401</v>
      </c>
      <c r="W3" s="267" t="s">
        <v>402</v>
      </c>
      <c r="X3" s="267" t="s">
        <v>403</v>
      </c>
      <c r="Y3" s="267" t="s">
        <v>404</v>
      </c>
      <c r="Z3" s="267" t="s">
        <v>405</v>
      </c>
      <c r="AA3" s="267" t="s">
        <v>406</v>
      </c>
      <c r="AB3" s="267" t="s">
        <v>407</v>
      </c>
      <c r="AC3" s="267" t="s">
        <v>408</v>
      </c>
      <c r="AD3" s="268" t="s">
        <v>409</v>
      </c>
      <c r="AE3" s="268" t="s">
        <v>388</v>
      </c>
      <c r="AF3" s="269" t="s">
        <v>389</v>
      </c>
      <c r="AG3" s="268" t="s">
        <v>390</v>
      </c>
      <c r="AH3" s="268" t="s">
        <v>391</v>
      </c>
      <c r="AI3" s="268" t="s">
        <v>392</v>
      </c>
      <c r="AJ3" s="268" t="s">
        <v>540</v>
      </c>
      <c r="AK3" s="268" t="s">
        <v>541</v>
      </c>
      <c r="AL3" s="268" t="s">
        <v>542</v>
      </c>
      <c r="AM3" s="268" t="s">
        <v>393</v>
      </c>
      <c r="AN3" s="268" t="s">
        <v>394</v>
      </c>
      <c r="AO3" s="268" t="s">
        <v>395</v>
      </c>
      <c r="AP3" s="268" t="s">
        <v>530</v>
      </c>
      <c r="AQ3" s="268" t="s">
        <v>396</v>
      </c>
      <c r="AR3" s="268" t="s">
        <v>397</v>
      </c>
      <c r="AS3" s="268" t="s">
        <v>398</v>
      </c>
      <c r="AT3" s="268" t="s">
        <v>399</v>
      </c>
      <c r="AU3" s="268" t="s">
        <v>400</v>
      </c>
      <c r="AV3" s="268" t="s">
        <v>401</v>
      </c>
      <c r="AW3" s="268" t="s">
        <v>402</v>
      </c>
      <c r="AX3" s="268" t="s">
        <v>403</v>
      </c>
      <c r="AY3" s="270" t="s">
        <v>404</v>
      </c>
      <c r="AZ3" s="271" t="s">
        <v>405</v>
      </c>
      <c r="BA3" s="271" t="s">
        <v>406</v>
      </c>
      <c r="BB3" s="271" t="s">
        <v>407</v>
      </c>
      <c r="BC3" s="272" t="s">
        <v>408</v>
      </c>
      <c r="BD3" s="273" t="s">
        <v>528</v>
      </c>
      <c r="BE3" s="273" t="s">
        <v>529</v>
      </c>
      <c r="BF3" s="273" t="s">
        <v>536</v>
      </c>
      <c r="BG3" s="273" t="s">
        <v>537</v>
      </c>
      <c r="BH3" s="273" t="s">
        <v>535</v>
      </c>
      <c r="BI3" s="273" t="s">
        <v>538</v>
      </c>
      <c r="BJ3" s="273" t="s">
        <v>539</v>
      </c>
      <c r="BK3" s="73"/>
      <c r="BL3" s="73"/>
      <c r="BM3" s="73"/>
      <c r="BN3" s="73"/>
      <c r="BO3" s="73"/>
      <c r="BP3" s="73"/>
      <c r="BQ3" s="73"/>
      <c r="BR3" s="73"/>
      <c r="BS3" s="73"/>
      <c r="BT3" s="73"/>
      <c r="BU3" s="73"/>
      <c r="BV3" s="73"/>
      <c r="BW3" s="73"/>
      <c r="BX3" s="73"/>
      <c r="BY3" s="73"/>
      <c r="BZ3" s="73"/>
      <c r="CA3" s="73"/>
      <c r="CB3" s="73"/>
      <c r="CC3" s="73"/>
      <c r="CD3" s="73"/>
    </row>
    <row r="4" spans="1:66" ht="12.75">
      <c r="A4" s="79" t="s">
        <v>561</v>
      </c>
      <c r="B4" s="79" t="s">
        <v>296</v>
      </c>
      <c r="C4" s="79" t="s">
        <v>259</v>
      </c>
      <c r="D4" s="99">
        <v>13691</v>
      </c>
      <c r="E4" s="99">
        <v>912</v>
      </c>
      <c r="F4" s="99" t="s">
        <v>387</v>
      </c>
      <c r="G4" s="99">
        <v>32</v>
      </c>
      <c r="H4" s="99">
        <v>13</v>
      </c>
      <c r="I4" s="99">
        <v>131</v>
      </c>
      <c r="J4" s="99">
        <v>562</v>
      </c>
      <c r="K4" s="99">
        <v>6</v>
      </c>
      <c r="L4" s="99">
        <v>1851</v>
      </c>
      <c r="M4" s="99">
        <v>213</v>
      </c>
      <c r="N4" s="99">
        <v>236</v>
      </c>
      <c r="O4" s="99">
        <v>148</v>
      </c>
      <c r="P4" s="159">
        <v>148</v>
      </c>
      <c r="Q4" s="99">
        <v>9</v>
      </c>
      <c r="R4" s="99">
        <v>17</v>
      </c>
      <c r="S4" s="99">
        <v>24</v>
      </c>
      <c r="T4" s="99">
        <v>32</v>
      </c>
      <c r="U4" s="99" t="s">
        <v>634</v>
      </c>
      <c r="V4" s="99">
        <v>39</v>
      </c>
      <c r="W4" s="99">
        <v>44</v>
      </c>
      <c r="X4" s="99">
        <v>15</v>
      </c>
      <c r="Y4" s="99">
        <v>48</v>
      </c>
      <c r="Z4" s="99">
        <v>32</v>
      </c>
      <c r="AA4" s="99" t="s">
        <v>634</v>
      </c>
      <c r="AB4" s="99" t="s">
        <v>634</v>
      </c>
      <c r="AC4" s="99" t="s">
        <v>634</v>
      </c>
      <c r="AD4" s="98" t="s">
        <v>364</v>
      </c>
      <c r="AE4" s="100">
        <v>0.06661310349864875</v>
      </c>
      <c r="AF4" s="100">
        <v>0.06</v>
      </c>
      <c r="AG4" s="98">
        <v>233.73018771455702</v>
      </c>
      <c r="AH4" s="98">
        <v>94.95288875903879</v>
      </c>
      <c r="AI4" s="100">
        <v>0.01</v>
      </c>
      <c r="AJ4" s="100">
        <v>0.673054</v>
      </c>
      <c r="AK4" s="100">
        <v>0.4</v>
      </c>
      <c r="AL4" s="100">
        <v>0.609282</v>
      </c>
      <c r="AM4" s="100">
        <v>0.299578</v>
      </c>
      <c r="AN4" s="100">
        <v>0.553991</v>
      </c>
      <c r="AO4" s="98">
        <v>1081.002118179826</v>
      </c>
      <c r="AP4" s="158">
        <v>0.9268218231</v>
      </c>
      <c r="AQ4" s="100">
        <v>0.060810810810810814</v>
      </c>
      <c r="AR4" s="100">
        <v>0.5294117647058824</v>
      </c>
      <c r="AS4" s="98">
        <v>175.29764078591776</v>
      </c>
      <c r="AT4" s="98">
        <v>233.73018771455702</v>
      </c>
      <c r="AU4" s="98" t="s">
        <v>634</v>
      </c>
      <c r="AV4" s="98">
        <v>284.85866627711636</v>
      </c>
      <c r="AW4" s="98">
        <v>321.37900810751586</v>
      </c>
      <c r="AX4" s="98">
        <v>109.56102549119859</v>
      </c>
      <c r="AY4" s="98">
        <v>350.5952815718355</v>
      </c>
      <c r="AZ4" s="98">
        <v>233.73018771455702</v>
      </c>
      <c r="BA4" s="100" t="s">
        <v>634</v>
      </c>
      <c r="BB4" s="100" t="s">
        <v>634</v>
      </c>
      <c r="BC4" s="100" t="s">
        <v>634</v>
      </c>
      <c r="BD4" s="158">
        <v>0.7835202026</v>
      </c>
      <c r="BE4" s="158">
        <v>1.088746567</v>
      </c>
      <c r="BF4" s="162">
        <v>835</v>
      </c>
      <c r="BG4" s="162">
        <v>15</v>
      </c>
      <c r="BH4" s="162">
        <v>3038</v>
      </c>
      <c r="BI4" s="162">
        <v>711</v>
      </c>
      <c r="BJ4" s="162">
        <v>426</v>
      </c>
      <c r="BK4" s="97"/>
      <c r="BL4" s="97"/>
      <c r="BM4" s="97"/>
      <c r="BN4" s="97"/>
    </row>
    <row r="5" spans="1:66" ht="12.75">
      <c r="A5" s="79" t="s">
        <v>593</v>
      </c>
      <c r="B5" s="79" t="s">
        <v>328</v>
      </c>
      <c r="C5" s="79" t="s">
        <v>259</v>
      </c>
      <c r="D5" s="99">
        <v>6744</v>
      </c>
      <c r="E5" s="99">
        <v>569</v>
      </c>
      <c r="F5" s="99" t="s">
        <v>387</v>
      </c>
      <c r="G5" s="99">
        <v>21</v>
      </c>
      <c r="H5" s="99">
        <v>9</v>
      </c>
      <c r="I5" s="99">
        <v>81</v>
      </c>
      <c r="J5" s="99">
        <v>257</v>
      </c>
      <c r="K5" s="99" t="s">
        <v>634</v>
      </c>
      <c r="L5" s="99">
        <v>911</v>
      </c>
      <c r="M5" s="99">
        <v>106</v>
      </c>
      <c r="N5" s="99">
        <v>116</v>
      </c>
      <c r="O5" s="99">
        <v>39</v>
      </c>
      <c r="P5" s="159">
        <v>39</v>
      </c>
      <c r="Q5" s="99">
        <v>9</v>
      </c>
      <c r="R5" s="99">
        <v>17</v>
      </c>
      <c r="S5" s="99">
        <v>13</v>
      </c>
      <c r="T5" s="99">
        <v>6</v>
      </c>
      <c r="U5" s="99" t="s">
        <v>634</v>
      </c>
      <c r="V5" s="99" t="s">
        <v>634</v>
      </c>
      <c r="W5" s="99">
        <v>29</v>
      </c>
      <c r="X5" s="99" t="s">
        <v>634</v>
      </c>
      <c r="Y5" s="99">
        <v>26</v>
      </c>
      <c r="Z5" s="99">
        <v>22</v>
      </c>
      <c r="AA5" s="99" t="s">
        <v>634</v>
      </c>
      <c r="AB5" s="99" t="s">
        <v>634</v>
      </c>
      <c r="AC5" s="99" t="s">
        <v>634</v>
      </c>
      <c r="AD5" s="98" t="s">
        <v>364</v>
      </c>
      <c r="AE5" s="100">
        <v>0.08437129300118625</v>
      </c>
      <c r="AF5" s="100">
        <v>0.08</v>
      </c>
      <c r="AG5" s="98">
        <v>311.38790035587186</v>
      </c>
      <c r="AH5" s="98">
        <v>133.45195729537366</v>
      </c>
      <c r="AI5" s="100">
        <v>0.012</v>
      </c>
      <c r="AJ5" s="100">
        <v>0.601874</v>
      </c>
      <c r="AK5" s="100" t="s">
        <v>634</v>
      </c>
      <c r="AL5" s="100">
        <v>0.604111</v>
      </c>
      <c r="AM5" s="100">
        <v>0.262376</v>
      </c>
      <c r="AN5" s="100">
        <v>0.483333</v>
      </c>
      <c r="AO5" s="98">
        <v>578.2918149466192</v>
      </c>
      <c r="AP5" s="158">
        <v>0.4550984955</v>
      </c>
      <c r="AQ5" s="100">
        <v>0.23076923076923078</v>
      </c>
      <c r="AR5" s="100">
        <v>0.5294117647058824</v>
      </c>
      <c r="AS5" s="98">
        <v>192.76393831553975</v>
      </c>
      <c r="AT5" s="98">
        <v>88.96797153024912</v>
      </c>
      <c r="AU5" s="98" t="s">
        <v>634</v>
      </c>
      <c r="AV5" s="98" t="s">
        <v>634</v>
      </c>
      <c r="AW5" s="98">
        <v>430.01186239620404</v>
      </c>
      <c r="AX5" s="98" t="s">
        <v>634</v>
      </c>
      <c r="AY5" s="98">
        <v>385.5278766310795</v>
      </c>
      <c r="AZ5" s="98">
        <v>326.2158956109134</v>
      </c>
      <c r="BA5" s="100" t="s">
        <v>634</v>
      </c>
      <c r="BB5" s="100" t="s">
        <v>634</v>
      </c>
      <c r="BC5" s="100" t="s">
        <v>634</v>
      </c>
      <c r="BD5" s="158">
        <v>0.3236194992</v>
      </c>
      <c r="BE5" s="158">
        <v>0.6221345901</v>
      </c>
      <c r="BF5" s="162">
        <v>427</v>
      </c>
      <c r="BG5" s="162" t="s">
        <v>634</v>
      </c>
      <c r="BH5" s="162">
        <v>1508</v>
      </c>
      <c r="BI5" s="162">
        <v>404</v>
      </c>
      <c r="BJ5" s="162">
        <v>240</v>
      </c>
      <c r="BK5" s="97"/>
      <c r="BL5" s="97"/>
      <c r="BM5" s="97"/>
      <c r="BN5" s="97"/>
    </row>
    <row r="6" spans="1:66" ht="12.75">
      <c r="A6" s="79" t="s">
        <v>614</v>
      </c>
      <c r="B6" s="79" t="s">
        <v>349</v>
      </c>
      <c r="C6" s="79" t="s">
        <v>259</v>
      </c>
      <c r="D6" s="99">
        <v>4200</v>
      </c>
      <c r="E6" s="99">
        <v>378</v>
      </c>
      <c r="F6" s="99" t="s">
        <v>387</v>
      </c>
      <c r="G6" s="99">
        <v>10</v>
      </c>
      <c r="H6" s="99" t="s">
        <v>634</v>
      </c>
      <c r="I6" s="99">
        <v>61</v>
      </c>
      <c r="J6" s="99">
        <v>171</v>
      </c>
      <c r="K6" s="99" t="s">
        <v>634</v>
      </c>
      <c r="L6" s="99">
        <v>520</v>
      </c>
      <c r="M6" s="99">
        <v>67</v>
      </c>
      <c r="N6" s="99">
        <v>78</v>
      </c>
      <c r="O6" s="99">
        <v>46</v>
      </c>
      <c r="P6" s="159">
        <v>46</v>
      </c>
      <c r="Q6" s="99" t="s">
        <v>634</v>
      </c>
      <c r="R6" s="99">
        <v>7</v>
      </c>
      <c r="S6" s="99">
        <v>14</v>
      </c>
      <c r="T6" s="99">
        <v>10</v>
      </c>
      <c r="U6" s="99" t="s">
        <v>634</v>
      </c>
      <c r="V6" s="99">
        <v>9</v>
      </c>
      <c r="W6" s="99">
        <v>14</v>
      </c>
      <c r="X6" s="99" t="s">
        <v>634</v>
      </c>
      <c r="Y6" s="99">
        <v>13</v>
      </c>
      <c r="Z6" s="99">
        <v>10</v>
      </c>
      <c r="AA6" s="99" t="s">
        <v>634</v>
      </c>
      <c r="AB6" s="99" t="s">
        <v>634</v>
      </c>
      <c r="AC6" s="99" t="s">
        <v>634</v>
      </c>
      <c r="AD6" s="98" t="s">
        <v>364</v>
      </c>
      <c r="AE6" s="100">
        <v>0.09</v>
      </c>
      <c r="AF6" s="100">
        <v>0.06</v>
      </c>
      <c r="AG6" s="98">
        <v>238.0952380952381</v>
      </c>
      <c r="AH6" s="98" t="s">
        <v>634</v>
      </c>
      <c r="AI6" s="100">
        <v>0.015</v>
      </c>
      <c r="AJ6" s="100">
        <v>0.610714</v>
      </c>
      <c r="AK6" s="100" t="s">
        <v>634</v>
      </c>
      <c r="AL6" s="100">
        <v>0.627262</v>
      </c>
      <c r="AM6" s="100">
        <v>0.233449</v>
      </c>
      <c r="AN6" s="100">
        <v>0.45614</v>
      </c>
      <c r="AO6" s="98">
        <v>1095.2380952380952</v>
      </c>
      <c r="AP6" s="158">
        <v>0.8621062469</v>
      </c>
      <c r="AQ6" s="100" t="s">
        <v>634</v>
      </c>
      <c r="AR6" s="100" t="s">
        <v>634</v>
      </c>
      <c r="AS6" s="98">
        <v>333.3333333333333</v>
      </c>
      <c r="AT6" s="98">
        <v>238.0952380952381</v>
      </c>
      <c r="AU6" s="98" t="s">
        <v>634</v>
      </c>
      <c r="AV6" s="98">
        <v>214.28571428571428</v>
      </c>
      <c r="AW6" s="98">
        <v>333.3333333333333</v>
      </c>
      <c r="AX6" s="98" t="s">
        <v>634</v>
      </c>
      <c r="AY6" s="98">
        <v>309.5238095238095</v>
      </c>
      <c r="AZ6" s="98">
        <v>238.0952380952381</v>
      </c>
      <c r="BA6" s="100" t="s">
        <v>634</v>
      </c>
      <c r="BB6" s="100" t="s">
        <v>634</v>
      </c>
      <c r="BC6" s="100" t="s">
        <v>634</v>
      </c>
      <c r="BD6" s="158">
        <v>0.6311701202</v>
      </c>
      <c r="BE6" s="158">
        <v>1.1499288939999999</v>
      </c>
      <c r="BF6" s="162">
        <v>280</v>
      </c>
      <c r="BG6" s="162" t="s">
        <v>634</v>
      </c>
      <c r="BH6" s="162">
        <v>829</v>
      </c>
      <c r="BI6" s="162">
        <v>287</v>
      </c>
      <c r="BJ6" s="162">
        <v>171</v>
      </c>
      <c r="BK6" s="97"/>
      <c r="BL6" s="97"/>
      <c r="BM6" s="97"/>
      <c r="BN6" s="97"/>
    </row>
    <row r="7" spans="1:66" ht="12.75">
      <c r="A7" s="79" t="s">
        <v>615</v>
      </c>
      <c r="B7" s="79" t="s">
        <v>351</v>
      </c>
      <c r="C7" s="79" t="s">
        <v>259</v>
      </c>
      <c r="D7" s="99">
        <v>3788</v>
      </c>
      <c r="E7" s="99">
        <v>252</v>
      </c>
      <c r="F7" s="99" t="s">
        <v>387</v>
      </c>
      <c r="G7" s="99" t="s">
        <v>634</v>
      </c>
      <c r="H7" s="99" t="s">
        <v>634</v>
      </c>
      <c r="I7" s="99">
        <v>28</v>
      </c>
      <c r="J7" s="99">
        <v>105</v>
      </c>
      <c r="K7" s="99" t="s">
        <v>634</v>
      </c>
      <c r="L7" s="99">
        <v>414</v>
      </c>
      <c r="M7" s="99">
        <v>50</v>
      </c>
      <c r="N7" s="99">
        <v>47</v>
      </c>
      <c r="O7" s="99">
        <v>27</v>
      </c>
      <c r="P7" s="159">
        <v>27</v>
      </c>
      <c r="Q7" s="99" t="s">
        <v>634</v>
      </c>
      <c r="R7" s="99">
        <v>6</v>
      </c>
      <c r="S7" s="99">
        <v>8</v>
      </c>
      <c r="T7" s="99" t="s">
        <v>634</v>
      </c>
      <c r="U7" s="99" t="s">
        <v>634</v>
      </c>
      <c r="V7" s="99">
        <v>8</v>
      </c>
      <c r="W7" s="99">
        <v>13</v>
      </c>
      <c r="X7" s="99" t="s">
        <v>634</v>
      </c>
      <c r="Y7" s="99">
        <v>13</v>
      </c>
      <c r="Z7" s="99" t="s">
        <v>634</v>
      </c>
      <c r="AA7" s="99" t="s">
        <v>634</v>
      </c>
      <c r="AB7" s="99" t="s">
        <v>634</v>
      </c>
      <c r="AC7" s="99" t="s">
        <v>634</v>
      </c>
      <c r="AD7" s="98" t="s">
        <v>364</v>
      </c>
      <c r="AE7" s="100">
        <v>0.0665258711721225</v>
      </c>
      <c r="AF7" s="100">
        <v>0.06</v>
      </c>
      <c r="AG7" s="98" t="s">
        <v>634</v>
      </c>
      <c r="AH7" s="98" t="s">
        <v>634</v>
      </c>
      <c r="AI7" s="100">
        <v>0.006999999999999999</v>
      </c>
      <c r="AJ7" s="100">
        <v>0.625</v>
      </c>
      <c r="AK7" s="100" t="s">
        <v>634</v>
      </c>
      <c r="AL7" s="100">
        <v>0.62069</v>
      </c>
      <c r="AM7" s="100">
        <v>0.27933</v>
      </c>
      <c r="AN7" s="100">
        <v>0.456311</v>
      </c>
      <c r="AO7" s="98">
        <v>712.7771911298838</v>
      </c>
      <c r="AP7" s="158">
        <v>0.6672431183</v>
      </c>
      <c r="AQ7" s="100" t="s">
        <v>634</v>
      </c>
      <c r="AR7" s="100" t="s">
        <v>634</v>
      </c>
      <c r="AS7" s="98">
        <v>211.1932418162619</v>
      </c>
      <c r="AT7" s="98" t="s">
        <v>634</v>
      </c>
      <c r="AU7" s="98" t="s">
        <v>634</v>
      </c>
      <c r="AV7" s="98">
        <v>211.1932418162619</v>
      </c>
      <c r="AW7" s="98">
        <v>343.18901795142557</v>
      </c>
      <c r="AX7" s="98" t="s">
        <v>634</v>
      </c>
      <c r="AY7" s="98">
        <v>343.18901795142557</v>
      </c>
      <c r="AZ7" s="98" t="s">
        <v>634</v>
      </c>
      <c r="BA7" s="100" t="s">
        <v>634</v>
      </c>
      <c r="BB7" s="100" t="s">
        <v>634</v>
      </c>
      <c r="BC7" s="100" t="s">
        <v>634</v>
      </c>
      <c r="BD7" s="158">
        <v>0.4397174454</v>
      </c>
      <c r="BE7" s="158">
        <v>0.9708037567</v>
      </c>
      <c r="BF7" s="162">
        <v>168</v>
      </c>
      <c r="BG7" s="162" t="s">
        <v>634</v>
      </c>
      <c r="BH7" s="162">
        <v>667</v>
      </c>
      <c r="BI7" s="162">
        <v>179</v>
      </c>
      <c r="BJ7" s="162">
        <v>103</v>
      </c>
      <c r="BK7" s="97"/>
      <c r="BL7" s="97"/>
      <c r="BM7" s="97"/>
      <c r="BN7" s="97"/>
    </row>
    <row r="8" spans="1:66" ht="12.75">
      <c r="A8" s="79" t="s">
        <v>556</v>
      </c>
      <c r="B8" s="79" t="s">
        <v>291</v>
      </c>
      <c r="C8" s="79" t="s">
        <v>259</v>
      </c>
      <c r="D8" s="99">
        <v>8209</v>
      </c>
      <c r="E8" s="99">
        <v>1716</v>
      </c>
      <c r="F8" s="99" t="s">
        <v>387</v>
      </c>
      <c r="G8" s="99">
        <v>49</v>
      </c>
      <c r="H8" s="99">
        <v>25</v>
      </c>
      <c r="I8" s="99">
        <v>178</v>
      </c>
      <c r="J8" s="99">
        <v>900</v>
      </c>
      <c r="K8" s="99">
        <v>18</v>
      </c>
      <c r="L8" s="99">
        <v>1563</v>
      </c>
      <c r="M8" s="99">
        <v>426</v>
      </c>
      <c r="N8" s="99">
        <v>386</v>
      </c>
      <c r="O8" s="99">
        <v>175</v>
      </c>
      <c r="P8" s="159">
        <v>175</v>
      </c>
      <c r="Q8" s="99">
        <v>21</v>
      </c>
      <c r="R8" s="99">
        <v>31</v>
      </c>
      <c r="S8" s="99">
        <v>41</v>
      </c>
      <c r="T8" s="99">
        <v>26</v>
      </c>
      <c r="U8" s="99" t="s">
        <v>634</v>
      </c>
      <c r="V8" s="99">
        <v>41</v>
      </c>
      <c r="W8" s="99">
        <v>63</v>
      </c>
      <c r="X8" s="99">
        <v>18</v>
      </c>
      <c r="Y8" s="99">
        <v>63</v>
      </c>
      <c r="Z8" s="99">
        <v>61</v>
      </c>
      <c r="AA8" s="99" t="s">
        <v>634</v>
      </c>
      <c r="AB8" s="99" t="s">
        <v>634</v>
      </c>
      <c r="AC8" s="99" t="s">
        <v>634</v>
      </c>
      <c r="AD8" s="98" t="s">
        <v>364</v>
      </c>
      <c r="AE8" s="100">
        <v>0.20903885978803752</v>
      </c>
      <c r="AF8" s="100">
        <v>0.06</v>
      </c>
      <c r="AG8" s="98">
        <v>596.9058350590815</v>
      </c>
      <c r="AH8" s="98">
        <v>304.54379339749056</v>
      </c>
      <c r="AI8" s="100">
        <v>0.022000000000000002</v>
      </c>
      <c r="AJ8" s="100">
        <v>0.735895</v>
      </c>
      <c r="AK8" s="100">
        <v>0.75</v>
      </c>
      <c r="AL8" s="100">
        <v>0.786217</v>
      </c>
      <c r="AM8" s="100">
        <v>0.371404</v>
      </c>
      <c r="AN8" s="100">
        <v>0.576981</v>
      </c>
      <c r="AO8" s="98">
        <v>2131.806553782434</v>
      </c>
      <c r="AP8" s="158">
        <v>1.004280777</v>
      </c>
      <c r="AQ8" s="100">
        <v>0.12</v>
      </c>
      <c r="AR8" s="100">
        <v>0.6774193548387096</v>
      </c>
      <c r="AS8" s="98">
        <v>499.4518211718845</v>
      </c>
      <c r="AT8" s="98">
        <v>316.7255451333902</v>
      </c>
      <c r="AU8" s="98" t="s">
        <v>634</v>
      </c>
      <c r="AV8" s="98">
        <v>499.4518211718845</v>
      </c>
      <c r="AW8" s="98">
        <v>767.4503593616762</v>
      </c>
      <c r="AX8" s="98">
        <v>219.2715312461932</v>
      </c>
      <c r="AY8" s="98">
        <v>767.4503593616762</v>
      </c>
      <c r="AZ8" s="98">
        <v>743.0868558898769</v>
      </c>
      <c r="BA8" s="100" t="s">
        <v>634</v>
      </c>
      <c r="BB8" s="100" t="s">
        <v>634</v>
      </c>
      <c r="BC8" s="100" t="s">
        <v>634</v>
      </c>
      <c r="BD8" s="158">
        <v>0.8609949493000001</v>
      </c>
      <c r="BE8" s="158">
        <v>1.164596634</v>
      </c>
      <c r="BF8" s="162">
        <v>1223</v>
      </c>
      <c r="BG8" s="162">
        <v>24</v>
      </c>
      <c r="BH8" s="162">
        <v>1988</v>
      </c>
      <c r="BI8" s="162">
        <v>1147</v>
      </c>
      <c r="BJ8" s="162">
        <v>669</v>
      </c>
      <c r="BK8" s="97"/>
      <c r="BL8" s="97"/>
      <c r="BM8" s="97"/>
      <c r="BN8" s="97"/>
    </row>
    <row r="9" spans="1:66" ht="12.75">
      <c r="A9" s="79" t="s">
        <v>565</v>
      </c>
      <c r="B9" s="79" t="s">
        <v>300</v>
      </c>
      <c r="C9" s="79" t="s">
        <v>259</v>
      </c>
      <c r="D9" s="99">
        <v>7052</v>
      </c>
      <c r="E9" s="99">
        <v>857</v>
      </c>
      <c r="F9" s="99" t="s">
        <v>387</v>
      </c>
      <c r="G9" s="99">
        <v>21</v>
      </c>
      <c r="H9" s="99">
        <v>13</v>
      </c>
      <c r="I9" s="99">
        <v>97</v>
      </c>
      <c r="J9" s="99">
        <v>346</v>
      </c>
      <c r="K9" s="99">
        <v>10</v>
      </c>
      <c r="L9" s="99">
        <v>901</v>
      </c>
      <c r="M9" s="99">
        <v>180</v>
      </c>
      <c r="N9" s="99">
        <v>169</v>
      </c>
      <c r="O9" s="99">
        <v>51</v>
      </c>
      <c r="P9" s="159">
        <v>51</v>
      </c>
      <c r="Q9" s="99" t="s">
        <v>634</v>
      </c>
      <c r="R9" s="99" t="s">
        <v>634</v>
      </c>
      <c r="S9" s="99">
        <v>19</v>
      </c>
      <c r="T9" s="99" t="s">
        <v>634</v>
      </c>
      <c r="U9" s="99" t="s">
        <v>634</v>
      </c>
      <c r="V9" s="99">
        <v>8</v>
      </c>
      <c r="W9" s="99">
        <v>29</v>
      </c>
      <c r="X9" s="99">
        <v>7</v>
      </c>
      <c r="Y9" s="99">
        <v>26</v>
      </c>
      <c r="Z9" s="99">
        <v>12</v>
      </c>
      <c r="AA9" s="99" t="s">
        <v>634</v>
      </c>
      <c r="AB9" s="99" t="s">
        <v>634</v>
      </c>
      <c r="AC9" s="99" t="s">
        <v>634</v>
      </c>
      <c r="AD9" s="98" t="s">
        <v>364</v>
      </c>
      <c r="AE9" s="100">
        <v>0.12152580828133863</v>
      </c>
      <c r="AF9" s="100">
        <v>0.06</v>
      </c>
      <c r="AG9" s="98">
        <v>297.7878615995462</v>
      </c>
      <c r="AH9" s="98">
        <v>184.344866704481</v>
      </c>
      <c r="AI9" s="100">
        <v>0.013999999999999999</v>
      </c>
      <c r="AJ9" s="100">
        <v>0.682446</v>
      </c>
      <c r="AK9" s="100">
        <v>0.47619</v>
      </c>
      <c r="AL9" s="100">
        <v>0.653846</v>
      </c>
      <c r="AM9" s="100">
        <v>0.355731</v>
      </c>
      <c r="AN9" s="100">
        <v>0.580756</v>
      </c>
      <c r="AO9" s="98">
        <v>723.1990924560408</v>
      </c>
      <c r="AP9" s="158">
        <v>0.5069066238</v>
      </c>
      <c r="AQ9" s="100" t="s">
        <v>634</v>
      </c>
      <c r="AR9" s="100" t="s">
        <v>634</v>
      </c>
      <c r="AS9" s="98">
        <v>269.4271128757799</v>
      </c>
      <c r="AT9" s="98" t="s">
        <v>634</v>
      </c>
      <c r="AU9" s="98" t="s">
        <v>634</v>
      </c>
      <c r="AV9" s="98">
        <v>113.44299489506523</v>
      </c>
      <c r="AW9" s="98">
        <v>411.23085649461143</v>
      </c>
      <c r="AX9" s="98">
        <v>99.26262053318207</v>
      </c>
      <c r="AY9" s="98">
        <v>368.689733408962</v>
      </c>
      <c r="AZ9" s="98">
        <v>170.16449234259784</v>
      </c>
      <c r="BA9" s="100" t="s">
        <v>634</v>
      </c>
      <c r="BB9" s="100" t="s">
        <v>634</v>
      </c>
      <c r="BC9" s="100" t="s">
        <v>634</v>
      </c>
      <c r="BD9" s="158">
        <v>0.37742527010000004</v>
      </c>
      <c r="BE9" s="158">
        <v>0.6664885712</v>
      </c>
      <c r="BF9" s="162">
        <v>507</v>
      </c>
      <c r="BG9" s="162">
        <v>21</v>
      </c>
      <c r="BH9" s="162">
        <v>1378</v>
      </c>
      <c r="BI9" s="162">
        <v>506</v>
      </c>
      <c r="BJ9" s="162">
        <v>291</v>
      </c>
      <c r="BK9" s="97"/>
      <c r="BL9" s="97"/>
      <c r="BM9" s="97"/>
      <c r="BN9" s="97"/>
    </row>
    <row r="10" spans="1:66" ht="12.75">
      <c r="A10" s="79" t="s">
        <v>576</v>
      </c>
      <c r="B10" s="79" t="s">
        <v>311</v>
      </c>
      <c r="C10" s="79" t="s">
        <v>259</v>
      </c>
      <c r="D10" s="99">
        <v>8803</v>
      </c>
      <c r="E10" s="99">
        <v>865</v>
      </c>
      <c r="F10" s="99" t="s">
        <v>386</v>
      </c>
      <c r="G10" s="99">
        <v>24</v>
      </c>
      <c r="H10" s="99">
        <v>10</v>
      </c>
      <c r="I10" s="99">
        <v>86</v>
      </c>
      <c r="J10" s="99">
        <v>402</v>
      </c>
      <c r="K10" s="99" t="s">
        <v>634</v>
      </c>
      <c r="L10" s="99">
        <v>1585</v>
      </c>
      <c r="M10" s="99">
        <v>107</v>
      </c>
      <c r="N10" s="99">
        <v>118</v>
      </c>
      <c r="O10" s="99">
        <v>117</v>
      </c>
      <c r="P10" s="159">
        <v>117</v>
      </c>
      <c r="Q10" s="99">
        <v>9</v>
      </c>
      <c r="R10" s="99">
        <v>15</v>
      </c>
      <c r="S10" s="99">
        <v>31</v>
      </c>
      <c r="T10" s="99">
        <v>11</v>
      </c>
      <c r="U10" s="99">
        <v>8</v>
      </c>
      <c r="V10" s="99">
        <v>26</v>
      </c>
      <c r="W10" s="99">
        <v>39</v>
      </c>
      <c r="X10" s="99">
        <v>13</v>
      </c>
      <c r="Y10" s="99">
        <v>62</v>
      </c>
      <c r="Z10" s="99">
        <v>30</v>
      </c>
      <c r="AA10" s="99" t="s">
        <v>634</v>
      </c>
      <c r="AB10" s="99" t="s">
        <v>634</v>
      </c>
      <c r="AC10" s="99" t="s">
        <v>634</v>
      </c>
      <c r="AD10" s="98" t="s">
        <v>364</v>
      </c>
      <c r="AE10" s="100">
        <v>0.09826195615131206</v>
      </c>
      <c r="AF10" s="100">
        <v>0.14</v>
      </c>
      <c r="AG10" s="98">
        <v>272.6343292059525</v>
      </c>
      <c r="AH10" s="98">
        <v>113.59763716914688</v>
      </c>
      <c r="AI10" s="100">
        <v>0.01</v>
      </c>
      <c r="AJ10" s="100">
        <v>0.57265</v>
      </c>
      <c r="AK10" s="100" t="s">
        <v>634</v>
      </c>
      <c r="AL10" s="100">
        <v>0.675043</v>
      </c>
      <c r="AM10" s="100">
        <v>0.189046</v>
      </c>
      <c r="AN10" s="100">
        <v>0.348083</v>
      </c>
      <c r="AO10" s="98">
        <v>1329.0923548790186</v>
      </c>
      <c r="AP10" s="158">
        <v>0.9333998108</v>
      </c>
      <c r="AQ10" s="100">
        <v>0.07692307692307693</v>
      </c>
      <c r="AR10" s="100">
        <v>0.6</v>
      </c>
      <c r="AS10" s="98">
        <v>352.15267522435533</v>
      </c>
      <c r="AT10" s="98">
        <v>124.95740088606156</v>
      </c>
      <c r="AU10" s="98">
        <v>90.87810973531751</v>
      </c>
      <c r="AV10" s="98">
        <v>295.3538566397819</v>
      </c>
      <c r="AW10" s="98">
        <v>443.0307849596728</v>
      </c>
      <c r="AX10" s="98">
        <v>147.67692831989095</v>
      </c>
      <c r="AY10" s="98">
        <v>704.3053504487107</v>
      </c>
      <c r="AZ10" s="98">
        <v>340.79291150744064</v>
      </c>
      <c r="BA10" s="100" t="s">
        <v>634</v>
      </c>
      <c r="BB10" s="100" t="s">
        <v>634</v>
      </c>
      <c r="BC10" s="100" t="s">
        <v>634</v>
      </c>
      <c r="BD10" s="158">
        <v>0.7719470977999999</v>
      </c>
      <c r="BE10" s="158">
        <v>1.118655167</v>
      </c>
      <c r="BF10" s="162">
        <v>702</v>
      </c>
      <c r="BG10" s="162" t="s">
        <v>634</v>
      </c>
      <c r="BH10" s="162">
        <v>2348</v>
      </c>
      <c r="BI10" s="162">
        <v>566</v>
      </c>
      <c r="BJ10" s="162">
        <v>339</v>
      </c>
      <c r="BK10" s="97"/>
      <c r="BL10" s="97"/>
      <c r="BM10" s="97"/>
      <c r="BN10" s="97"/>
    </row>
    <row r="11" spans="1:66" ht="12.75">
      <c r="A11" s="79" t="s">
        <v>567</v>
      </c>
      <c r="B11" s="79" t="s">
        <v>302</v>
      </c>
      <c r="C11" s="79" t="s">
        <v>259</v>
      </c>
      <c r="D11" s="99">
        <v>5036</v>
      </c>
      <c r="E11" s="99">
        <v>996</v>
      </c>
      <c r="F11" s="99" t="s">
        <v>385</v>
      </c>
      <c r="G11" s="99">
        <v>31</v>
      </c>
      <c r="H11" s="99">
        <v>21</v>
      </c>
      <c r="I11" s="99">
        <v>107</v>
      </c>
      <c r="J11" s="99">
        <v>503</v>
      </c>
      <c r="K11" s="99">
        <v>7</v>
      </c>
      <c r="L11" s="99">
        <v>853</v>
      </c>
      <c r="M11" s="99">
        <v>173</v>
      </c>
      <c r="N11" s="99">
        <v>186</v>
      </c>
      <c r="O11" s="99">
        <v>73</v>
      </c>
      <c r="P11" s="159">
        <v>73</v>
      </c>
      <c r="Q11" s="99">
        <v>13</v>
      </c>
      <c r="R11" s="99">
        <v>20</v>
      </c>
      <c r="S11" s="99">
        <v>14</v>
      </c>
      <c r="T11" s="99">
        <v>15</v>
      </c>
      <c r="U11" s="99" t="s">
        <v>634</v>
      </c>
      <c r="V11" s="99">
        <v>9</v>
      </c>
      <c r="W11" s="99">
        <v>35</v>
      </c>
      <c r="X11" s="99">
        <v>14</v>
      </c>
      <c r="Y11" s="99">
        <v>51</v>
      </c>
      <c r="Z11" s="99">
        <v>38</v>
      </c>
      <c r="AA11" s="99" t="s">
        <v>634</v>
      </c>
      <c r="AB11" s="99" t="s">
        <v>634</v>
      </c>
      <c r="AC11" s="99" t="s">
        <v>634</v>
      </c>
      <c r="AD11" s="98" t="s">
        <v>364</v>
      </c>
      <c r="AE11" s="100">
        <v>0.19777601270849882</v>
      </c>
      <c r="AF11" s="100">
        <v>0.11</v>
      </c>
      <c r="AG11" s="98">
        <v>615.5679110405083</v>
      </c>
      <c r="AH11" s="98">
        <v>416.9976171564734</v>
      </c>
      <c r="AI11" s="100">
        <v>0.021</v>
      </c>
      <c r="AJ11" s="100">
        <v>0.754123</v>
      </c>
      <c r="AK11" s="100">
        <v>0.636364</v>
      </c>
      <c r="AL11" s="100">
        <v>0.705542</v>
      </c>
      <c r="AM11" s="100">
        <v>0.29322</v>
      </c>
      <c r="AN11" s="100">
        <v>0.545455</v>
      </c>
      <c r="AO11" s="98">
        <v>1449.5631453534552</v>
      </c>
      <c r="AP11" s="158">
        <v>0.7384831237999999</v>
      </c>
      <c r="AQ11" s="100">
        <v>0.1780821917808219</v>
      </c>
      <c r="AR11" s="100">
        <v>0.65</v>
      </c>
      <c r="AS11" s="98">
        <v>277.99841143764894</v>
      </c>
      <c r="AT11" s="98">
        <v>297.8554408260524</v>
      </c>
      <c r="AU11" s="98" t="s">
        <v>634</v>
      </c>
      <c r="AV11" s="98">
        <v>178.71326449563145</v>
      </c>
      <c r="AW11" s="98">
        <v>694.9960285941223</v>
      </c>
      <c r="AX11" s="98">
        <v>277.99841143764894</v>
      </c>
      <c r="AY11" s="98">
        <v>1012.7084988085783</v>
      </c>
      <c r="AZ11" s="98">
        <v>754.5671167593327</v>
      </c>
      <c r="BA11" s="100" t="s">
        <v>634</v>
      </c>
      <c r="BB11" s="100" t="s">
        <v>634</v>
      </c>
      <c r="BC11" s="100" t="s">
        <v>634</v>
      </c>
      <c r="BD11" s="158">
        <v>0.5788528824</v>
      </c>
      <c r="BE11" s="158">
        <v>0.9285316467</v>
      </c>
      <c r="BF11" s="162">
        <v>667</v>
      </c>
      <c r="BG11" s="162">
        <v>11</v>
      </c>
      <c r="BH11" s="162">
        <v>1209</v>
      </c>
      <c r="BI11" s="162">
        <v>590</v>
      </c>
      <c r="BJ11" s="162">
        <v>341</v>
      </c>
      <c r="BK11" s="97"/>
      <c r="BL11" s="97"/>
      <c r="BM11" s="97"/>
      <c r="BN11" s="97"/>
    </row>
    <row r="12" spans="1:66" ht="12.75">
      <c r="A12" s="79" t="s">
        <v>595</v>
      </c>
      <c r="B12" s="79" t="s">
        <v>330</v>
      </c>
      <c r="C12" s="79" t="s">
        <v>259</v>
      </c>
      <c r="D12" s="99">
        <v>11747</v>
      </c>
      <c r="E12" s="99">
        <v>1625</v>
      </c>
      <c r="F12" s="99" t="s">
        <v>387</v>
      </c>
      <c r="G12" s="99">
        <v>55</v>
      </c>
      <c r="H12" s="99">
        <v>29</v>
      </c>
      <c r="I12" s="99">
        <v>181</v>
      </c>
      <c r="J12" s="99">
        <v>1052</v>
      </c>
      <c r="K12" s="99">
        <v>55</v>
      </c>
      <c r="L12" s="99">
        <v>2358</v>
      </c>
      <c r="M12" s="99">
        <v>391</v>
      </c>
      <c r="N12" s="99">
        <v>349</v>
      </c>
      <c r="O12" s="99">
        <v>209</v>
      </c>
      <c r="P12" s="159">
        <v>209</v>
      </c>
      <c r="Q12" s="99">
        <v>15</v>
      </c>
      <c r="R12" s="99">
        <v>33</v>
      </c>
      <c r="S12" s="99">
        <v>46</v>
      </c>
      <c r="T12" s="99">
        <v>31</v>
      </c>
      <c r="U12" s="99">
        <v>11</v>
      </c>
      <c r="V12" s="99">
        <v>44</v>
      </c>
      <c r="W12" s="99">
        <v>101</v>
      </c>
      <c r="X12" s="99">
        <v>51</v>
      </c>
      <c r="Y12" s="99">
        <v>113</v>
      </c>
      <c r="Z12" s="99">
        <v>59</v>
      </c>
      <c r="AA12" s="99" t="s">
        <v>634</v>
      </c>
      <c r="AB12" s="99" t="s">
        <v>634</v>
      </c>
      <c r="AC12" s="99" t="s">
        <v>634</v>
      </c>
      <c r="AD12" s="98" t="s">
        <v>364</v>
      </c>
      <c r="AE12" s="100">
        <v>0.13833319145313697</v>
      </c>
      <c r="AF12" s="100">
        <v>0.07</v>
      </c>
      <c r="AG12" s="98">
        <v>468.20464799523285</v>
      </c>
      <c r="AH12" s="98">
        <v>246.87154167021367</v>
      </c>
      <c r="AI12" s="100">
        <v>0.015</v>
      </c>
      <c r="AJ12" s="100">
        <v>0.778682</v>
      </c>
      <c r="AK12" s="100">
        <v>0.723684</v>
      </c>
      <c r="AL12" s="100">
        <v>0.744788</v>
      </c>
      <c r="AM12" s="100">
        <v>0.354488</v>
      </c>
      <c r="AN12" s="100">
        <v>0.55309</v>
      </c>
      <c r="AO12" s="98">
        <v>1779.1776623818848</v>
      </c>
      <c r="AP12" s="158">
        <v>1.000907745</v>
      </c>
      <c r="AQ12" s="100">
        <v>0.07177033492822966</v>
      </c>
      <c r="AR12" s="100">
        <v>0.45454545454545453</v>
      </c>
      <c r="AS12" s="98">
        <v>391.5893419596493</v>
      </c>
      <c r="AT12" s="98">
        <v>263.8971652336767</v>
      </c>
      <c r="AU12" s="98">
        <v>93.64092959904656</v>
      </c>
      <c r="AV12" s="98">
        <v>374.56371839618623</v>
      </c>
      <c r="AW12" s="98">
        <v>859.7939899548821</v>
      </c>
      <c r="AX12" s="98">
        <v>434.1534008683068</v>
      </c>
      <c r="AY12" s="98">
        <v>961.9477313356601</v>
      </c>
      <c r="AZ12" s="98">
        <v>502.25589512215885</v>
      </c>
      <c r="BA12" s="100" t="s">
        <v>634</v>
      </c>
      <c r="BB12" s="100" t="s">
        <v>634</v>
      </c>
      <c r="BC12" s="100" t="s">
        <v>634</v>
      </c>
      <c r="BD12" s="158">
        <v>0.8698023987000001</v>
      </c>
      <c r="BE12" s="158">
        <v>1.146195221</v>
      </c>
      <c r="BF12" s="162">
        <v>1351</v>
      </c>
      <c r="BG12" s="162">
        <v>76</v>
      </c>
      <c r="BH12" s="162">
        <v>3166</v>
      </c>
      <c r="BI12" s="162">
        <v>1103</v>
      </c>
      <c r="BJ12" s="162">
        <v>631</v>
      </c>
      <c r="BK12" s="97"/>
      <c r="BL12" s="97"/>
      <c r="BM12" s="97"/>
      <c r="BN12" s="97"/>
    </row>
    <row r="13" spans="1:66" ht="12.75">
      <c r="A13" s="79" t="s">
        <v>599</v>
      </c>
      <c r="B13" s="79" t="s">
        <v>334</v>
      </c>
      <c r="C13" s="79" t="s">
        <v>259</v>
      </c>
      <c r="D13" s="99">
        <v>6793</v>
      </c>
      <c r="E13" s="99">
        <v>1288</v>
      </c>
      <c r="F13" s="99" t="s">
        <v>387</v>
      </c>
      <c r="G13" s="99">
        <v>33</v>
      </c>
      <c r="H13" s="99">
        <v>20</v>
      </c>
      <c r="I13" s="99">
        <v>111</v>
      </c>
      <c r="J13" s="99">
        <v>725</v>
      </c>
      <c r="K13" s="99">
        <v>77</v>
      </c>
      <c r="L13" s="99">
        <v>1467</v>
      </c>
      <c r="M13" s="99">
        <v>383</v>
      </c>
      <c r="N13" s="99">
        <v>351</v>
      </c>
      <c r="O13" s="99">
        <v>121</v>
      </c>
      <c r="P13" s="159">
        <v>121</v>
      </c>
      <c r="Q13" s="99">
        <v>9</v>
      </c>
      <c r="R13" s="99">
        <v>14</v>
      </c>
      <c r="S13" s="99">
        <v>30</v>
      </c>
      <c r="T13" s="99">
        <v>22</v>
      </c>
      <c r="U13" s="99" t="s">
        <v>634</v>
      </c>
      <c r="V13" s="99">
        <v>26</v>
      </c>
      <c r="W13" s="99">
        <v>44</v>
      </c>
      <c r="X13" s="99">
        <v>24</v>
      </c>
      <c r="Y13" s="99">
        <v>72</v>
      </c>
      <c r="Z13" s="99">
        <v>29</v>
      </c>
      <c r="AA13" s="99" t="s">
        <v>634</v>
      </c>
      <c r="AB13" s="99" t="s">
        <v>634</v>
      </c>
      <c r="AC13" s="99" t="s">
        <v>634</v>
      </c>
      <c r="AD13" s="98" t="s">
        <v>364</v>
      </c>
      <c r="AE13" s="100">
        <v>0.18960694832916236</v>
      </c>
      <c r="AF13" s="100">
        <v>0.06</v>
      </c>
      <c r="AG13" s="98">
        <v>485.7941999116738</v>
      </c>
      <c r="AH13" s="98">
        <v>294.42072721919624</v>
      </c>
      <c r="AI13" s="100">
        <v>0.016</v>
      </c>
      <c r="AJ13" s="100">
        <v>0.714286</v>
      </c>
      <c r="AK13" s="100">
        <v>0.827957</v>
      </c>
      <c r="AL13" s="100">
        <v>0.856392</v>
      </c>
      <c r="AM13" s="100">
        <v>0.394845</v>
      </c>
      <c r="AN13" s="100">
        <v>0.609375</v>
      </c>
      <c r="AO13" s="98">
        <v>1781.2453996761371</v>
      </c>
      <c r="AP13" s="158">
        <v>0.8627625274999999</v>
      </c>
      <c r="AQ13" s="100">
        <v>0.0743801652892562</v>
      </c>
      <c r="AR13" s="100">
        <v>0.6428571428571429</v>
      </c>
      <c r="AS13" s="98">
        <v>441.63109082879436</v>
      </c>
      <c r="AT13" s="98">
        <v>323.86279994111584</v>
      </c>
      <c r="AU13" s="98" t="s">
        <v>634</v>
      </c>
      <c r="AV13" s="98">
        <v>382.7469453849551</v>
      </c>
      <c r="AW13" s="98">
        <v>647.7255998822317</v>
      </c>
      <c r="AX13" s="98">
        <v>353.3048726630355</v>
      </c>
      <c r="AY13" s="98">
        <v>1059.9146179891065</v>
      </c>
      <c r="AZ13" s="98">
        <v>426.9100544678345</v>
      </c>
      <c r="BA13" s="100" t="s">
        <v>634</v>
      </c>
      <c r="BB13" s="100" t="s">
        <v>634</v>
      </c>
      <c r="BC13" s="100" t="s">
        <v>634</v>
      </c>
      <c r="BD13" s="158">
        <v>0.7158975220000001</v>
      </c>
      <c r="BE13" s="158">
        <v>1.03089119</v>
      </c>
      <c r="BF13" s="162">
        <v>1015</v>
      </c>
      <c r="BG13" s="162">
        <v>93</v>
      </c>
      <c r="BH13" s="162">
        <v>1713</v>
      </c>
      <c r="BI13" s="162">
        <v>970</v>
      </c>
      <c r="BJ13" s="162">
        <v>576</v>
      </c>
      <c r="BK13" s="97"/>
      <c r="BL13" s="97"/>
      <c r="BM13" s="97"/>
      <c r="BN13" s="97"/>
    </row>
    <row r="14" spans="1:66" ht="12.75">
      <c r="A14" s="79" t="s">
        <v>569</v>
      </c>
      <c r="B14" s="79" t="s">
        <v>304</v>
      </c>
      <c r="C14" s="79" t="s">
        <v>259</v>
      </c>
      <c r="D14" s="99">
        <v>8181</v>
      </c>
      <c r="E14" s="99">
        <v>1638</v>
      </c>
      <c r="F14" s="99" t="s">
        <v>387</v>
      </c>
      <c r="G14" s="99">
        <v>49</v>
      </c>
      <c r="H14" s="99">
        <v>17</v>
      </c>
      <c r="I14" s="99">
        <v>164</v>
      </c>
      <c r="J14" s="99">
        <v>801</v>
      </c>
      <c r="K14" s="99">
        <v>6</v>
      </c>
      <c r="L14" s="99">
        <v>1464</v>
      </c>
      <c r="M14" s="99">
        <v>284</v>
      </c>
      <c r="N14" s="99">
        <v>314</v>
      </c>
      <c r="O14" s="99">
        <v>143</v>
      </c>
      <c r="P14" s="159">
        <v>143</v>
      </c>
      <c r="Q14" s="99">
        <v>14</v>
      </c>
      <c r="R14" s="99">
        <v>28</v>
      </c>
      <c r="S14" s="99">
        <v>20</v>
      </c>
      <c r="T14" s="99">
        <v>19</v>
      </c>
      <c r="U14" s="99">
        <v>6</v>
      </c>
      <c r="V14" s="99">
        <v>41</v>
      </c>
      <c r="W14" s="99">
        <v>57</v>
      </c>
      <c r="X14" s="99">
        <v>22</v>
      </c>
      <c r="Y14" s="99">
        <v>73</v>
      </c>
      <c r="Z14" s="99">
        <v>46</v>
      </c>
      <c r="AA14" s="99" t="s">
        <v>634</v>
      </c>
      <c r="AB14" s="99" t="s">
        <v>634</v>
      </c>
      <c r="AC14" s="99" t="s">
        <v>634</v>
      </c>
      <c r="AD14" s="98" t="s">
        <v>364</v>
      </c>
      <c r="AE14" s="100">
        <v>0.2002200220022002</v>
      </c>
      <c r="AF14" s="100">
        <v>0.05</v>
      </c>
      <c r="AG14" s="98">
        <v>598.9487837672656</v>
      </c>
      <c r="AH14" s="98">
        <v>207.79855763354112</v>
      </c>
      <c r="AI14" s="100">
        <v>0.02</v>
      </c>
      <c r="AJ14" s="100">
        <v>0.771676</v>
      </c>
      <c r="AK14" s="100">
        <v>0.352941</v>
      </c>
      <c r="AL14" s="100">
        <v>0.724752</v>
      </c>
      <c r="AM14" s="100">
        <v>0.293388</v>
      </c>
      <c r="AN14" s="100">
        <v>0.559715</v>
      </c>
      <c r="AO14" s="98">
        <v>1747.9525730350813</v>
      </c>
      <c r="AP14" s="158">
        <v>0.8449022675000001</v>
      </c>
      <c r="AQ14" s="100">
        <v>0.0979020979020979</v>
      </c>
      <c r="AR14" s="100">
        <v>0.5</v>
      </c>
      <c r="AS14" s="98">
        <v>244.4688913335778</v>
      </c>
      <c r="AT14" s="98">
        <v>232.2454467668989</v>
      </c>
      <c r="AU14" s="98">
        <v>73.34066740007334</v>
      </c>
      <c r="AV14" s="98">
        <v>501.1612272338345</v>
      </c>
      <c r="AW14" s="98">
        <v>696.7363403006967</v>
      </c>
      <c r="AX14" s="98">
        <v>268.9157804669356</v>
      </c>
      <c r="AY14" s="98">
        <v>892.311453367559</v>
      </c>
      <c r="AZ14" s="98">
        <v>562.278450067229</v>
      </c>
      <c r="BA14" s="100" t="s">
        <v>634</v>
      </c>
      <c r="BB14" s="100" t="s">
        <v>634</v>
      </c>
      <c r="BC14" s="100" t="s">
        <v>634</v>
      </c>
      <c r="BD14" s="158">
        <v>0.7121006775</v>
      </c>
      <c r="BE14" s="158">
        <v>0.9952827454</v>
      </c>
      <c r="BF14" s="162">
        <v>1038</v>
      </c>
      <c r="BG14" s="162">
        <v>17</v>
      </c>
      <c r="BH14" s="162">
        <v>2020</v>
      </c>
      <c r="BI14" s="162">
        <v>968</v>
      </c>
      <c r="BJ14" s="162">
        <v>561</v>
      </c>
      <c r="BK14" s="97"/>
      <c r="BL14" s="97"/>
      <c r="BM14" s="97"/>
      <c r="BN14" s="97"/>
    </row>
    <row r="15" spans="1:66" ht="12.75">
      <c r="A15" s="79" t="s">
        <v>609</v>
      </c>
      <c r="B15" s="79" t="s">
        <v>344</v>
      </c>
      <c r="C15" s="79" t="s">
        <v>259</v>
      </c>
      <c r="D15" s="99">
        <v>8992</v>
      </c>
      <c r="E15" s="99">
        <v>813</v>
      </c>
      <c r="F15" s="99" t="s">
        <v>387</v>
      </c>
      <c r="G15" s="99">
        <v>30</v>
      </c>
      <c r="H15" s="99">
        <v>11</v>
      </c>
      <c r="I15" s="99">
        <v>128</v>
      </c>
      <c r="J15" s="99">
        <v>538</v>
      </c>
      <c r="K15" s="99">
        <v>26</v>
      </c>
      <c r="L15" s="99">
        <v>2188</v>
      </c>
      <c r="M15" s="99">
        <v>245</v>
      </c>
      <c r="N15" s="99">
        <v>208</v>
      </c>
      <c r="O15" s="99">
        <v>171</v>
      </c>
      <c r="P15" s="159">
        <v>171</v>
      </c>
      <c r="Q15" s="99">
        <v>19</v>
      </c>
      <c r="R15" s="99">
        <v>30</v>
      </c>
      <c r="S15" s="99">
        <v>55</v>
      </c>
      <c r="T15" s="99">
        <v>21</v>
      </c>
      <c r="U15" s="99" t="s">
        <v>634</v>
      </c>
      <c r="V15" s="99">
        <v>22</v>
      </c>
      <c r="W15" s="99">
        <v>45</v>
      </c>
      <c r="X15" s="99">
        <v>11</v>
      </c>
      <c r="Y15" s="99">
        <v>62</v>
      </c>
      <c r="Z15" s="99">
        <v>41</v>
      </c>
      <c r="AA15" s="99" t="s">
        <v>634</v>
      </c>
      <c r="AB15" s="99" t="s">
        <v>634</v>
      </c>
      <c r="AC15" s="99" t="s">
        <v>634</v>
      </c>
      <c r="AD15" s="98" t="s">
        <v>364</v>
      </c>
      <c r="AE15" s="100">
        <v>0.09041370106761566</v>
      </c>
      <c r="AF15" s="100">
        <v>0.06</v>
      </c>
      <c r="AG15" s="98">
        <v>333.62989323843414</v>
      </c>
      <c r="AH15" s="98">
        <v>122.33096085409252</v>
      </c>
      <c r="AI15" s="100">
        <v>0.013999999999999999</v>
      </c>
      <c r="AJ15" s="100">
        <v>0.660123</v>
      </c>
      <c r="AK15" s="100">
        <v>0.604651</v>
      </c>
      <c r="AL15" s="100">
        <v>0.830991</v>
      </c>
      <c r="AM15" s="100">
        <v>0.380435</v>
      </c>
      <c r="AN15" s="100">
        <v>0.601156</v>
      </c>
      <c r="AO15" s="98">
        <v>1901.6903914590748</v>
      </c>
      <c r="AP15" s="158">
        <v>1.277540512</v>
      </c>
      <c r="AQ15" s="100">
        <v>0.1111111111111111</v>
      </c>
      <c r="AR15" s="100">
        <v>0.6333333333333333</v>
      </c>
      <c r="AS15" s="98">
        <v>611.6548042704626</v>
      </c>
      <c r="AT15" s="98">
        <v>233.5409252669039</v>
      </c>
      <c r="AU15" s="98" t="s">
        <v>634</v>
      </c>
      <c r="AV15" s="98">
        <v>244.66192170818505</v>
      </c>
      <c r="AW15" s="98">
        <v>500.44483985765123</v>
      </c>
      <c r="AX15" s="98">
        <v>122.33096085409252</v>
      </c>
      <c r="AY15" s="98">
        <v>689.5017793594307</v>
      </c>
      <c r="AZ15" s="98">
        <v>455.9608540925267</v>
      </c>
      <c r="BA15" s="100" t="s">
        <v>634</v>
      </c>
      <c r="BB15" s="100" t="s">
        <v>634</v>
      </c>
      <c r="BC15" s="100" t="s">
        <v>634</v>
      </c>
      <c r="BD15" s="158">
        <v>1.0932312770000001</v>
      </c>
      <c r="BE15" s="158">
        <v>1.4840264890000001</v>
      </c>
      <c r="BF15" s="162">
        <v>815</v>
      </c>
      <c r="BG15" s="162">
        <v>43</v>
      </c>
      <c r="BH15" s="162">
        <v>2633</v>
      </c>
      <c r="BI15" s="162">
        <v>644</v>
      </c>
      <c r="BJ15" s="162">
        <v>346</v>
      </c>
      <c r="BK15" s="97"/>
      <c r="BL15" s="97"/>
      <c r="BM15" s="97"/>
      <c r="BN15" s="97"/>
    </row>
    <row r="16" spans="1:66" ht="12.75">
      <c r="A16" s="79" t="s">
        <v>591</v>
      </c>
      <c r="B16" s="79" t="s">
        <v>326</v>
      </c>
      <c r="C16" s="79" t="s">
        <v>259</v>
      </c>
      <c r="D16" s="99">
        <v>6669</v>
      </c>
      <c r="E16" s="99">
        <v>1474</v>
      </c>
      <c r="F16" s="99" t="s">
        <v>387</v>
      </c>
      <c r="G16" s="99">
        <v>37</v>
      </c>
      <c r="H16" s="99">
        <v>21</v>
      </c>
      <c r="I16" s="99">
        <v>175</v>
      </c>
      <c r="J16" s="99">
        <v>679</v>
      </c>
      <c r="K16" s="99">
        <v>77</v>
      </c>
      <c r="L16" s="99">
        <v>1372</v>
      </c>
      <c r="M16" s="99">
        <v>371</v>
      </c>
      <c r="N16" s="99">
        <v>304</v>
      </c>
      <c r="O16" s="99">
        <v>194</v>
      </c>
      <c r="P16" s="159">
        <v>194</v>
      </c>
      <c r="Q16" s="99">
        <v>24</v>
      </c>
      <c r="R16" s="99">
        <v>34</v>
      </c>
      <c r="S16" s="99">
        <v>44</v>
      </c>
      <c r="T16" s="99">
        <v>41</v>
      </c>
      <c r="U16" s="99">
        <v>6</v>
      </c>
      <c r="V16" s="99">
        <v>34</v>
      </c>
      <c r="W16" s="99">
        <v>53</v>
      </c>
      <c r="X16" s="99">
        <v>21</v>
      </c>
      <c r="Y16" s="99">
        <v>71</v>
      </c>
      <c r="Z16" s="99">
        <v>64</v>
      </c>
      <c r="AA16" s="99" t="s">
        <v>634</v>
      </c>
      <c r="AB16" s="99" t="s">
        <v>634</v>
      </c>
      <c r="AC16" s="99" t="s">
        <v>634</v>
      </c>
      <c r="AD16" s="98" t="s">
        <v>364</v>
      </c>
      <c r="AE16" s="100">
        <v>0.22102264207527367</v>
      </c>
      <c r="AF16" s="100">
        <v>0.06</v>
      </c>
      <c r="AG16" s="98">
        <v>554.8058179637127</v>
      </c>
      <c r="AH16" s="98">
        <v>314.8897885739991</v>
      </c>
      <c r="AI16" s="100">
        <v>0.026000000000000002</v>
      </c>
      <c r="AJ16" s="100">
        <v>0.69641</v>
      </c>
      <c r="AK16" s="100">
        <v>0.733333</v>
      </c>
      <c r="AL16" s="100">
        <v>0.817153</v>
      </c>
      <c r="AM16" s="100">
        <v>0.40195</v>
      </c>
      <c r="AN16" s="100">
        <v>0.589147</v>
      </c>
      <c r="AO16" s="98">
        <v>2908.981856350277</v>
      </c>
      <c r="AP16" s="158">
        <v>1.3262673950000001</v>
      </c>
      <c r="AQ16" s="100">
        <v>0.12371134020618557</v>
      </c>
      <c r="AR16" s="100">
        <v>0.7058823529411765</v>
      </c>
      <c r="AS16" s="98">
        <v>659.7690808217124</v>
      </c>
      <c r="AT16" s="98">
        <v>614.784825311141</v>
      </c>
      <c r="AU16" s="98">
        <v>89.9685110211426</v>
      </c>
      <c r="AV16" s="98">
        <v>509.8215624531414</v>
      </c>
      <c r="AW16" s="98">
        <v>794.7218473534263</v>
      </c>
      <c r="AX16" s="98">
        <v>314.8897885739991</v>
      </c>
      <c r="AY16" s="98">
        <v>1064.627380416854</v>
      </c>
      <c r="AZ16" s="98">
        <v>959.6641175588544</v>
      </c>
      <c r="BA16" s="100" t="s">
        <v>634</v>
      </c>
      <c r="BB16" s="100" t="s">
        <v>634</v>
      </c>
      <c r="BC16" s="100" t="s">
        <v>634</v>
      </c>
      <c r="BD16" s="158">
        <v>1.146195755</v>
      </c>
      <c r="BE16" s="158">
        <v>1.52660141</v>
      </c>
      <c r="BF16" s="162">
        <v>975</v>
      </c>
      <c r="BG16" s="162">
        <v>105</v>
      </c>
      <c r="BH16" s="162">
        <v>1679</v>
      </c>
      <c r="BI16" s="162">
        <v>923</v>
      </c>
      <c r="BJ16" s="162">
        <v>516</v>
      </c>
      <c r="BK16" s="97"/>
      <c r="BL16" s="97"/>
      <c r="BM16" s="97"/>
      <c r="BN16" s="97"/>
    </row>
    <row r="17" spans="1:66" ht="12.75">
      <c r="A17" s="79" t="s">
        <v>555</v>
      </c>
      <c r="B17" s="79" t="s">
        <v>290</v>
      </c>
      <c r="C17" s="79" t="s">
        <v>259</v>
      </c>
      <c r="D17" s="99">
        <v>11749</v>
      </c>
      <c r="E17" s="99">
        <v>1136</v>
      </c>
      <c r="F17" s="99" t="s">
        <v>386</v>
      </c>
      <c r="G17" s="99">
        <v>24</v>
      </c>
      <c r="H17" s="99">
        <v>20</v>
      </c>
      <c r="I17" s="99">
        <v>155</v>
      </c>
      <c r="J17" s="99">
        <v>644</v>
      </c>
      <c r="K17" s="99">
        <v>614</v>
      </c>
      <c r="L17" s="99">
        <v>2135</v>
      </c>
      <c r="M17" s="99">
        <v>236</v>
      </c>
      <c r="N17" s="99">
        <v>205</v>
      </c>
      <c r="O17" s="99">
        <v>206</v>
      </c>
      <c r="P17" s="159">
        <v>206</v>
      </c>
      <c r="Q17" s="99">
        <v>29</v>
      </c>
      <c r="R17" s="99">
        <v>44</v>
      </c>
      <c r="S17" s="99">
        <v>52</v>
      </c>
      <c r="T17" s="99">
        <v>30</v>
      </c>
      <c r="U17" s="99">
        <v>9</v>
      </c>
      <c r="V17" s="99">
        <v>56</v>
      </c>
      <c r="W17" s="99">
        <v>67</v>
      </c>
      <c r="X17" s="99">
        <v>11</v>
      </c>
      <c r="Y17" s="99">
        <v>83</v>
      </c>
      <c r="Z17" s="99">
        <v>61</v>
      </c>
      <c r="AA17" s="99" t="s">
        <v>634</v>
      </c>
      <c r="AB17" s="99" t="s">
        <v>634</v>
      </c>
      <c r="AC17" s="99" t="s">
        <v>634</v>
      </c>
      <c r="AD17" s="98" t="s">
        <v>364</v>
      </c>
      <c r="AE17" s="100">
        <v>0.09668907992169547</v>
      </c>
      <c r="AF17" s="100">
        <v>0.13</v>
      </c>
      <c r="AG17" s="98">
        <v>204.27270405992</v>
      </c>
      <c r="AH17" s="98">
        <v>170.22725338326666</v>
      </c>
      <c r="AI17" s="100">
        <v>0.013000000000000001</v>
      </c>
      <c r="AJ17" s="100">
        <v>0.669439</v>
      </c>
      <c r="AK17" s="100">
        <v>0.681465</v>
      </c>
      <c r="AL17" s="100">
        <v>0.652706</v>
      </c>
      <c r="AM17" s="100">
        <v>0.303732</v>
      </c>
      <c r="AN17" s="100">
        <v>0.468037</v>
      </c>
      <c r="AO17" s="98">
        <v>1753.3407098476466</v>
      </c>
      <c r="AP17" s="158">
        <v>1.205824051</v>
      </c>
      <c r="AQ17" s="100">
        <v>0.1407766990291262</v>
      </c>
      <c r="AR17" s="100">
        <v>0.6590909090909091</v>
      </c>
      <c r="AS17" s="98">
        <v>442.5908587964933</v>
      </c>
      <c r="AT17" s="98">
        <v>255.34088007489999</v>
      </c>
      <c r="AU17" s="98">
        <v>76.60226402247</v>
      </c>
      <c r="AV17" s="98">
        <v>476.63630947314664</v>
      </c>
      <c r="AW17" s="98">
        <v>570.2612988339433</v>
      </c>
      <c r="AX17" s="98">
        <v>93.62498936079666</v>
      </c>
      <c r="AY17" s="98">
        <v>706.4431015405567</v>
      </c>
      <c r="AZ17" s="98">
        <v>519.1931228189633</v>
      </c>
      <c r="BA17" s="100" t="s">
        <v>634</v>
      </c>
      <c r="BB17" s="100" t="s">
        <v>634</v>
      </c>
      <c r="BC17" s="100" t="s">
        <v>634</v>
      </c>
      <c r="BD17" s="158">
        <v>1.046772461</v>
      </c>
      <c r="BE17" s="158">
        <v>1.382212982</v>
      </c>
      <c r="BF17" s="162">
        <v>962</v>
      </c>
      <c r="BG17" s="162">
        <v>901</v>
      </c>
      <c r="BH17" s="162">
        <v>3271</v>
      </c>
      <c r="BI17" s="162">
        <v>777</v>
      </c>
      <c r="BJ17" s="162">
        <v>438</v>
      </c>
      <c r="BK17" s="97"/>
      <c r="BL17" s="97"/>
      <c r="BM17" s="97"/>
      <c r="BN17" s="97"/>
    </row>
    <row r="18" spans="1:66" ht="12.75">
      <c r="A18" s="79" t="s">
        <v>637</v>
      </c>
      <c r="B18" s="79" t="s">
        <v>289</v>
      </c>
      <c r="C18" s="79" t="s">
        <v>259</v>
      </c>
      <c r="D18" s="99">
        <v>7484</v>
      </c>
      <c r="E18" s="99">
        <v>1312</v>
      </c>
      <c r="F18" s="99" t="s">
        <v>387</v>
      </c>
      <c r="G18" s="99">
        <v>40</v>
      </c>
      <c r="H18" s="99">
        <v>23</v>
      </c>
      <c r="I18" s="99">
        <v>146</v>
      </c>
      <c r="J18" s="99">
        <v>779</v>
      </c>
      <c r="K18" s="99">
        <v>8</v>
      </c>
      <c r="L18" s="99">
        <v>1553</v>
      </c>
      <c r="M18" s="99">
        <v>268</v>
      </c>
      <c r="N18" s="99">
        <v>289</v>
      </c>
      <c r="O18" s="99">
        <v>126</v>
      </c>
      <c r="P18" s="159">
        <v>126</v>
      </c>
      <c r="Q18" s="99">
        <v>24</v>
      </c>
      <c r="R18" s="99">
        <v>29</v>
      </c>
      <c r="S18" s="99">
        <v>31</v>
      </c>
      <c r="T18" s="99">
        <v>15</v>
      </c>
      <c r="U18" s="99" t="s">
        <v>634</v>
      </c>
      <c r="V18" s="99">
        <v>28</v>
      </c>
      <c r="W18" s="99">
        <v>58</v>
      </c>
      <c r="X18" s="99">
        <v>11</v>
      </c>
      <c r="Y18" s="99">
        <v>48</v>
      </c>
      <c r="Z18" s="99">
        <v>43</v>
      </c>
      <c r="AA18" s="99" t="s">
        <v>634</v>
      </c>
      <c r="AB18" s="99" t="s">
        <v>634</v>
      </c>
      <c r="AC18" s="99" t="s">
        <v>634</v>
      </c>
      <c r="AD18" s="98" t="s">
        <v>364</v>
      </c>
      <c r="AE18" s="100">
        <v>0.17530732228754678</v>
      </c>
      <c r="AF18" s="100">
        <v>0.06</v>
      </c>
      <c r="AG18" s="98">
        <v>534.4735435595938</v>
      </c>
      <c r="AH18" s="98">
        <v>307.32228754676646</v>
      </c>
      <c r="AI18" s="100">
        <v>0.02</v>
      </c>
      <c r="AJ18" s="100">
        <v>0.757782</v>
      </c>
      <c r="AK18" s="100">
        <v>0.533333</v>
      </c>
      <c r="AL18" s="100">
        <v>0.802169</v>
      </c>
      <c r="AM18" s="100">
        <v>0.282403</v>
      </c>
      <c r="AN18" s="100">
        <v>0.538175</v>
      </c>
      <c r="AO18" s="98">
        <v>1683.5916622127204</v>
      </c>
      <c r="AP18" s="158">
        <v>0.8545091248</v>
      </c>
      <c r="AQ18" s="100">
        <v>0.19047619047619047</v>
      </c>
      <c r="AR18" s="100">
        <v>0.8275862068965517</v>
      </c>
      <c r="AS18" s="98">
        <v>414.2169962586852</v>
      </c>
      <c r="AT18" s="98">
        <v>200.42757883484768</v>
      </c>
      <c r="AU18" s="98" t="s">
        <v>634</v>
      </c>
      <c r="AV18" s="98">
        <v>374.13148049171565</v>
      </c>
      <c r="AW18" s="98">
        <v>774.9866381614111</v>
      </c>
      <c r="AX18" s="98">
        <v>146.9802244788883</v>
      </c>
      <c r="AY18" s="98">
        <v>641.3682522715126</v>
      </c>
      <c r="AZ18" s="98">
        <v>574.5590593265633</v>
      </c>
      <c r="BA18" s="100" t="s">
        <v>634</v>
      </c>
      <c r="BB18" s="100" t="s">
        <v>634</v>
      </c>
      <c r="BC18" s="100" t="s">
        <v>634</v>
      </c>
      <c r="BD18" s="158">
        <v>0.7118289185000001</v>
      </c>
      <c r="BE18" s="158">
        <v>1.017401962</v>
      </c>
      <c r="BF18" s="162">
        <v>1028</v>
      </c>
      <c r="BG18" s="162">
        <v>15</v>
      </c>
      <c r="BH18" s="162">
        <v>1936</v>
      </c>
      <c r="BI18" s="162">
        <v>949</v>
      </c>
      <c r="BJ18" s="162">
        <v>537</v>
      </c>
      <c r="BK18" s="97"/>
      <c r="BL18" s="97"/>
      <c r="BM18" s="97"/>
      <c r="BN18" s="97"/>
    </row>
    <row r="19" spans="1:66" ht="12.75">
      <c r="A19" s="79" t="s">
        <v>617</v>
      </c>
      <c r="B19" s="79" t="s">
        <v>353</v>
      </c>
      <c r="C19" s="79" t="s">
        <v>259</v>
      </c>
      <c r="D19" s="99">
        <v>4920</v>
      </c>
      <c r="E19" s="99">
        <v>1013</v>
      </c>
      <c r="F19" s="99" t="s">
        <v>387</v>
      </c>
      <c r="G19" s="99">
        <v>26</v>
      </c>
      <c r="H19" s="99">
        <v>9</v>
      </c>
      <c r="I19" s="99">
        <v>86</v>
      </c>
      <c r="J19" s="99">
        <v>546</v>
      </c>
      <c r="K19" s="99">
        <v>531</v>
      </c>
      <c r="L19" s="99">
        <v>912</v>
      </c>
      <c r="M19" s="99">
        <v>263</v>
      </c>
      <c r="N19" s="99">
        <v>234</v>
      </c>
      <c r="O19" s="99">
        <v>113</v>
      </c>
      <c r="P19" s="159">
        <v>113</v>
      </c>
      <c r="Q19" s="99">
        <v>7</v>
      </c>
      <c r="R19" s="99">
        <v>15</v>
      </c>
      <c r="S19" s="99">
        <v>34</v>
      </c>
      <c r="T19" s="99">
        <v>23</v>
      </c>
      <c r="U19" s="99" t="s">
        <v>634</v>
      </c>
      <c r="V19" s="99">
        <v>24</v>
      </c>
      <c r="W19" s="99">
        <v>33</v>
      </c>
      <c r="X19" s="99">
        <v>25</v>
      </c>
      <c r="Y19" s="99">
        <v>38</v>
      </c>
      <c r="Z19" s="99">
        <v>27</v>
      </c>
      <c r="AA19" s="99" t="s">
        <v>634</v>
      </c>
      <c r="AB19" s="99" t="s">
        <v>634</v>
      </c>
      <c r="AC19" s="99" t="s">
        <v>634</v>
      </c>
      <c r="AD19" s="98" t="s">
        <v>364</v>
      </c>
      <c r="AE19" s="100">
        <v>0.20589430894308944</v>
      </c>
      <c r="AF19" s="100">
        <v>0.06</v>
      </c>
      <c r="AG19" s="98">
        <v>528.4552845528456</v>
      </c>
      <c r="AH19" s="98">
        <v>182.9268292682927</v>
      </c>
      <c r="AI19" s="100">
        <v>0.017</v>
      </c>
      <c r="AJ19" s="100">
        <v>0.811293</v>
      </c>
      <c r="AK19" s="100">
        <v>0.815668</v>
      </c>
      <c r="AL19" s="100">
        <v>0.78553</v>
      </c>
      <c r="AM19" s="100">
        <v>0.403374</v>
      </c>
      <c r="AN19" s="100">
        <v>0.612565</v>
      </c>
      <c r="AO19" s="98">
        <v>2296.7479674796746</v>
      </c>
      <c r="AP19" s="158">
        <v>1.088483658</v>
      </c>
      <c r="AQ19" s="100">
        <v>0.061946902654867256</v>
      </c>
      <c r="AR19" s="100">
        <v>0.4666666666666667</v>
      </c>
      <c r="AS19" s="98">
        <v>691.0569105691056</v>
      </c>
      <c r="AT19" s="98">
        <v>467.479674796748</v>
      </c>
      <c r="AU19" s="98" t="s">
        <v>634</v>
      </c>
      <c r="AV19" s="98">
        <v>487.8048780487805</v>
      </c>
      <c r="AW19" s="98">
        <v>670.7317073170732</v>
      </c>
      <c r="AX19" s="98">
        <v>508.130081300813</v>
      </c>
      <c r="AY19" s="98">
        <v>772.3577235772358</v>
      </c>
      <c r="AZ19" s="98">
        <v>548.780487804878</v>
      </c>
      <c r="BA19" s="100" t="s">
        <v>634</v>
      </c>
      <c r="BB19" s="100" t="s">
        <v>634</v>
      </c>
      <c r="BC19" s="100" t="s">
        <v>634</v>
      </c>
      <c r="BD19" s="158">
        <v>0.8970645905000001</v>
      </c>
      <c r="BE19" s="158">
        <v>1.308657532</v>
      </c>
      <c r="BF19" s="162">
        <v>673</v>
      </c>
      <c r="BG19" s="162">
        <v>651</v>
      </c>
      <c r="BH19" s="162">
        <v>1161</v>
      </c>
      <c r="BI19" s="162">
        <v>652</v>
      </c>
      <c r="BJ19" s="162">
        <v>382</v>
      </c>
      <c r="BK19" s="97"/>
      <c r="BL19" s="97"/>
      <c r="BM19" s="97"/>
      <c r="BN19" s="97"/>
    </row>
    <row r="20" spans="1:66" ht="12.75">
      <c r="A20" s="79" t="s">
        <v>577</v>
      </c>
      <c r="B20" s="79" t="s">
        <v>312</v>
      </c>
      <c r="C20" s="79" t="s">
        <v>259</v>
      </c>
      <c r="D20" s="99">
        <v>12550</v>
      </c>
      <c r="E20" s="99">
        <v>2380</v>
      </c>
      <c r="F20" s="99" t="s">
        <v>387</v>
      </c>
      <c r="G20" s="99">
        <v>60</v>
      </c>
      <c r="H20" s="99">
        <v>28</v>
      </c>
      <c r="I20" s="99">
        <v>220</v>
      </c>
      <c r="J20" s="99">
        <v>1176</v>
      </c>
      <c r="K20" s="99">
        <v>8</v>
      </c>
      <c r="L20" s="99">
        <v>2445</v>
      </c>
      <c r="M20" s="99">
        <v>458</v>
      </c>
      <c r="N20" s="99">
        <v>472</v>
      </c>
      <c r="O20" s="99">
        <v>177</v>
      </c>
      <c r="P20" s="159">
        <v>177</v>
      </c>
      <c r="Q20" s="99">
        <v>25</v>
      </c>
      <c r="R20" s="99">
        <v>46</v>
      </c>
      <c r="S20" s="99">
        <v>42</v>
      </c>
      <c r="T20" s="99">
        <v>31</v>
      </c>
      <c r="U20" s="99">
        <v>6</v>
      </c>
      <c r="V20" s="99">
        <v>35</v>
      </c>
      <c r="W20" s="99">
        <v>70</v>
      </c>
      <c r="X20" s="99">
        <v>34</v>
      </c>
      <c r="Y20" s="99">
        <v>76</v>
      </c>
      <c r="Z20" s="99">
        <v>77</v>
      </c>
      <c r="AA20" s="99" t="s">
        <v>634</v>
      </c>
      <c r="AB20" s="99" t="s">
        <v>634</v>
      </c>
      <c r="AC20" s="99" t="s">
        <v>634</v>
      </c>
      <c r="AD20" s="98" t="s">
        <v>364</v>
      </c>
      <c r="AE20" s="100">
        <v>0.18964143426294822</v>
      </c>
      <c r="AF20" s="100">
        <v>0.07</v>
      </c>
      <c r="AG20" s="98">
        <v>478.0876494023904</v>
      </c>
      <c r="AH20" s="98">
        <v>223.10756972111554</v>
      </c>
      <c r="AI20" s="100">
        <v>0.018000000000000002</v>
      </c>
      <c r="AJ20" s="100">
        <v>0.729529</v>
      </c>
      <c r="AK20" s="100">
        <v>0.444444</v>
      </c>
      <c r="AL20" s="100">
        <v>0.795122</v>
      </c>
      <c r="AM20" s="100">
        <v>0.329496</v>
      </c>
      <c r="AN20" s="100">
        <v>0.568675</v>
      </c>
      <c r="AO20" s="98">
        <v>1410.3585657370518</v>
      </c>
      <c r="AP20" s="158">
        <v>0.7018782806</v>
      </c>
      <c r="AQ20" s="100">
        <v>0.14124293785310735</v>
      </c>
      <c r="AR20" s="100">
        <v>0.5434782608695652</v>
      </c>
      <c r="AS20" s="98">
        <v>334.6613545816733</v>
      </c>
      <c r="AT20" s="98">
        <v>247.01195219123505</v>
      </c>
      <c r="AU20" s="98">
        <v>47.808764940239044</v>
      </c>
      <c r="AV20" s="98">
        <v>278.8844621513944</v>
      </c>
      <c r="AW20" s="98">
        <v>557.7689243027888</v>
      </c>
      <c r="AX20" s="98">
        <v>270.9163346613546</v>
      </c>
      <c r="AY20" s="98">
        <v>605.5776892430279</v>
      </c>
      <c r="AZ20" s="98">
        <v>613.5458167330677</v>
      </c>
      <c r="BA20" s="100" t="s">
        <v>634</v>
      </c>
      <c r="BB20" s="100" t="s">
        <v>634</v>
      </c>
      <c r="BC20" s="100" t="s">
        <v>634</v>
      </c>
      <c r="BD20" s="158">
        <v>0.6022831726</v>
      </c>
      <c r="BE20" s="158">
        <v>0.8132392883</v>
      </c>
      <c r="BF20" s="162">
        <v>1612</v>
      </c>
      <c r="BG20" s="162">
        <v>18</v>
      </c>
      <c r="BH20" s="162">
        <v>3075</v>
      </c>
      <c r="BI20" s="162">
        <v>1390</v>
      </c>
      <c r="BJ20" s="162">
        <v>830</v>
      </c>
      <c r="BK20" s="97"/>
      <c r="BL20" s="97"/>
      <c r="BM20" s="97"/>
      <c r="BN20" s="97"/>
    </row>
    <row r="21" spans="1:66" ht="12.75">
      <c r="A21" s="79" t="s">
        <v>578</v>
      </c>
      <c r="B21" s="79" t="s">
        <v>313</v>
      </c>
      <c r="C21" s="79" t="s">
        <v>259</v>
      </c>
      <c r="D21" s="99">
        <v>3373</v>
      </c>
      <c r="E21" s="99">
        <v>567</v>
      </c>
      <c r="F21" s="99" t="s">
        <v>387</v>
      </c>
      <c r="G21" s="99">
        <v>13</v>
      </c>
      <c r="H21" s="99">
        <v>10</v>
      </c>
      <c r="I21" s="99">
        <v>64</v>
      </c>
      <c r="J21" s="99">
        <v>356</v>
      </c>
      <c r="K21" s="99" t="s">
        <v>634</v>
      </c>
      <c r="L21" s="99">
        <v>679</v>
      </c>
      <c r="M21" s="99">
        <v>118</v>
      </c>
      <c r="N21" s="99">
        <v>122</v>
      </c>
      <c r="O21" s="99">
        <v>75</v>
      </c>
      <c r="P21" s="159">
        <v>75</v>
      </c>
      <c r="Q21" s="99" t="s">
        <v>634</v>
      </c>
      <c r="R21" s="99">
        <v>11</v>
      </c>
      <c r="S21" s="99">
        <v>7</v>
      </c>
      <c r="T21" s="99">
        <v>13</v>
      </c>
      <c r="U21" s="99" t="s">
        <v>634</v>
      </c>
      <c r="V21" s="99">
        <v>31</v>
      </c>
      <c r="W21" s="99">
        <v>21</v>
      </c>
      <c r="X21" s="99">
        <v>7</v>
      </c>
      <c r="Y21" s="99">
        <v>20</v>
      </c>
      <c r="Z21" s="99">
        <v>31</v>
      </c>
      <c r="AA21" s="99" t="s">
        <v>634</v>
      </c>
      <c r="AB21" s="99" t="s">
        <v>634</v>
      </c>
      <c r="AC21" s="99" t="s">
        <v>634</v>
      </c>
      <c r="AD21" s="98" t="s">
        <v>364</v>
      </c>
      <c r="AE21" s="100">
        <v>0.1680996145864216</v>
      </c>
      <c r="AF21" s="100">
        <v>0.06</v>
      </c>
      <c r="AG21" s="98">
        <v>385.4135784168396</v>
      </c>
      <c r="AH21" s="98">
        <v>296.4719833975689</v>
      </c>
      <c r="AI21" s="100">
        <v>0.019</v>
      </c>
      <c r="AJ21" s="100">
        <v>0.726531</v>
      </c>
      <c r="AK21" s="100" t="s">
        <v>634</v>
      </c>
      <c r="AL21" s="100">
        <v>0.811231</v>
      </c>
      <c r="AM21" s="100">
        <v>0.269406</v>
      </c>
      <c r="AN21" s="100">
        <v>0.532751</v>
      </c>
      <c r="AO21" s="98">
        <v>2223.539875481767</v>
      </c>
      <c r="AP21" s="158">
        <v>1.107938766</v>
      </c>
      <c r="AQ21" s="100" t="s">
        <v>634</v>
      </c>
      <c r="AR21" s="100" t="s">
        <v>634</v>
      </c>
      <c r="AS21" s="98">
        <v>207.53038837829826</v>
      </c>
      <c r="AT21" s="98">
        <v>385.4135784168396</v>
      </c>
      <c r="AU21" s="98" t="s">
        <v>634</v>
      </c>
      <c r="AV21" s="98">
        <v>919.0631485324636</v>
      </c>
      <c r="AW21" s="98">
        <v>622.5911651348947</v>
      </c>
      <c r="AX21" s="98">
        <v>207.53038837829826</v>
      </c>
      <c r="AY21" s="98">
        <v>592.9439667951378</v>
      </c>
      <c r="AZ21" s="98">
        <v>919.0631485324636</v>
      </c>
      <c r="BA21" s="100" t="s">
        <v>634</v>
      </c>
      <c r="BB21" s="100" t="s">
        <v>634</v>
      </c>
      <c r="BC21" s="100" t="s">
        <v>634</v>
      </c>
      <c r="BD21" s="158">
        <v>0.8714640808</v>
      </c>
      <c r="BE21" s="158">
        <v>1.3888108829999999</v>
      </c>
      <c r="BF21" s="162">
        <v>490</v>
      </c>
      <c r="BG21" s="162" t="s">
        <v>634</v>
      </c>
      <c r="BH21" s="162">
        <v>837</v>
      </c>
      <c r="BI21" s="162">
        <v>438</v>
      </c>
      <c r="BJ21" s="162">
        <v>229</v>
      </c>
      <c r="BK21" s="97"/>
      <c r="BL21" s="97"/>
      <c r="BM21" s="97"/>
      <c r="BN21" s="97"/>
    </row>
    <row r="22" spans="1:66" ht="12.75">
      <c r="A22" s="79" t="s">
        <v>621</v>
      </c>
      <c r="B22" s="79" t="s">
        <v>357</v>
      </c>
      <c r="C22" s="79" t="s">
        <v>259</v>
      </c>
      <c r="D22" s="99">
        <v>6906</v>
      </c>
      <c r="E22" s="99">
        <v>773</v>
      </c>
      <c r="F22" s="99" t="s">
        <v>387</v>
      </c>
      <c r="G22" s="99">
        <v>31</v>
      </c>
      <c r="H22" s="99">
        <v>14</v>
      </c>
      <c r="I22" s="99">
        <v>96</v>
      </c>
      <c r="J22" s="99">
        <v>553</v>
      </c>
      <c r="K22" s="99">
        <v>537</v>
      </c>
      <c r="L22" s="99">
        <v>1569</v>
      </c>
      <c r="M22" s="99">
        <v>201</v>
      </c>
      <c r="N22" s="99">
        <v>184</v>
      </c>
      <c r="O22" s="99">
        <v>151</v>
      </c>
      <c r="P22" s="159">
        <v>151</v>
      </c>
      <c r="Q22" s="99">
        <v>12</v>
      </c>
      <c r="R22" s="99">
        <v>19</v>
      </c>
      <c r="S22" s="99">
        <v>33</v>
      </c>
      <c r="T22" s="99">
        <v>34</v>
      </c>
      <c r="U22" s="99" t="s">
        <v>634</v>
      </c>
      <c r="V22" s="99">
        <v>19</v>
      </c>
      <c r="W22" s="99">
        <v>45</v>
      </c>
      <c r="X22" s="99">
        <v>11</v>
      </c>
      <c r="Y22" s="99">
        <v>62</v>
      </c>
      <c r="Z22" s="99">
        <v>26</v>
      </c>
      <c r="AA22" s="99" t="s">
        <v>634</v>
      </c>
      <c r="AB22" s="99" t="s">
        <v>634</v>
      </c>
      <c r="AC22" s="99" t="s">
        <v>634</v>
      </c>
      <c r="AD22" s="98" t="s">
        <v>364</v>
      </c>
      <c r="AE22" s="100">
        <v>0.1119316536345207</v>
      </c>
      <c r="AF22" s="100">
        <v>0.07</v>
      </c>
      <c r="AG22" s="98">
        <v>448.8850275123081</v>
      </c>
      <c r="AH22" s="98">
        <v>202.7222704894295</v>
      </c>
      <c r="AI22" s="100">
        <v>0.013999999999999999</v>
      </c>
      <c r="AJ22" s="100">
        <v>0.815634</v>
      </c>
      <c r="AK22" s="100">
        <v>0.833851</v>
      </c>
      <c r="AL22" s="100">
        <v>0.821896</v>
      </c>
      <c r="AM22" s="100">
        <v>0.371534</v>
      </c>
      <c r="AN22" s="100">
        <v>0.582278</v>
      </c>
      <c r="AO22" s="98">
        <v>2186.5044888502753</v>
      </c>
      <c r="AP22" s="158">
        <v>1.3578480529999999</v>
      </c>
      <c r="AQ22" s="100">
        <v>0.07947019867549669</v>
      </c>
      <c r="AR22" s="100">
        <v>0.631578947368421</v>
      </c>
      <c r="AS22" s="98">
        <v>477.8453518679409</v>
      </c>
      <c r="AT22" s="98">
        <v>492.3255140457573</v>
      </c>
      <c r="AU22" s="98" t="s">
        <v>634</v>
      </c>
      <c r="AV22" s="98">
        <v>275.1230813785114</v>
      </c>
      <c r="AW22" s="98">
        <v>651.6072980017376</v>
      </c>
      <c r="AX22" s="98">
        <v>159.2817839559803</v>
      </c>
      <c r="AY22" s="98">
        <v>897.7700550246162</v>
      </c>
      <c r="AZ22" s="98">
        <v>376.4842166232262</v>
      </c>
      <c r="BA22" s="100" t="s">
        <v>634</v>
      </c>
      <c r="BB22" s="100" t="s">
        <v>634</v>
      </c>
      <c r="BC22" s="100" t="s">
        <v>634</v>
      </c>
      <c r="BD22" s="158">
        <v>1.149910583</v>
      </c>
      <c r="BE22" s="158">
        <v>1.592520447</v>
      </c>
      <c r="BF22" s="162">
        <v>678</v>
      </c>
      <c r="BG22" s="162">
        <v>644</v>
      </c>
      <c r="BH22" s="162">
        <v>1909</v>
      </c>
      <c r="BI22" s="162">
        <v>541</v>
      </c>
      <c r="BJ22" s="162">
        <v>316</v>
      </c>
      <c r="BK22" s="97"/>
      <c r="BL22" s="97"/>
      <c r="BM22" s="97"/>
      <c r="BN22" s="97"/>
    </row>
    <row r="23" spans="1:66" ht="12.75">
      <c r="A23" s="79" t="s">
        <v>598</v>
      </c>
      <c r="B23" s="79" t="s">
        <v>333</v>
      </c>
      <c r="C23" s="79" t="s">
        <v>259</v>
      </c>
      <c r="D23" s="99">
        <v>3344</v>
      </c>
      <c r="E23" s="99">
        <v>661</v>
      </c>
      <c r="F23" s="99" t="s">
        <v>387</v>
      </c>
      <c r="G23" s="99">
        <v>11</v>
      </c>
      <c r="H23" s="99">
        <v>8</v>
      </c>
      <c r="I23" s="99">
        <v>50</v>
      </c>
      <c r="J23" s="99">
        <v>401</v>
      </c>
      <c r="K23" s="99">
        <v>358</v>
      </c>
      <c r="L23" s="99">
        <v>702</v>
      </c>
      <c r="M23" s="99">
        <v>199</v>
      </c>
      <c r="N23" s="99">
        <v>187</v>
      </c>
      <c r="O23" s="99">
        <v>48</v>
      </c>
      <c r="P23" s="159">
        <v>48</v>
      </c>
      <c r="Q23" s="99">
        <v>6</v>
      </c>
      <c r="R23" s="99">
        <v>14</v>
      </c>
      <c r="S23" s="99">
        <v>10</v>
      </c>
      <c r="T23" s="99">
        <v>10</v>
      </c>
      <c r="U23" s="99" t="s">
        <v>634</v>
      </c>
      <c r="V23" s="99">
        <v>11</v>
      </c>
      <c r="W23" s="99">
        <v>22</v>
      </c>
      <c r="X23" s="99">
        <v>13</v>
      </c>
      <c r="Y23" s="99">
        <v>23</v>
      </c>
      <c r="Z23" s="99">
        <v>15</v>
      </c>
      <c r="AA23" s="99" t="s">
        <v>634</v>
      </c>
      <c r="AB23" s="99" t="s">
        <v>634</v>
      </c>
      <c r="AC23" s="99" t="s">
        <v>634</v>
      </c>
      <c r="AD23" s="98" t="s">
        <v>364</v>
      </c>
      <c r="AE23" s="100">
        <v>0.19766746411483255</v>
      </c>
      <c r="AF23" s="100">
        <v>0.05</v>
      </c>
      <c r="AG23" s="98">
        <v>328.94736842105266</v>
      </c>
      <c r="AH23" s="98">
        <v>239.23444976076556</v>
      </c>
      <c r="AI23" s="100">
        <v>0.015</v>
      </c>
      <c r="AJ23" s="100">
        <v>0.749533</v>
      </c>
      <c r="AK23" s="100">
        <v>0.809955</v>
      </c>
      <c r="AL23" s="100">
        <v>0.815331</v>
      </c>
      <c r="AM23" s="100">
        <v>0.392505</v>
      </c>
      <c r="AN23" s="100">
        <v>0.627517</v>
      </c>
      <c r="AO23" s="98">
        <v>1435.4066985645934</v>
      </c>
      <c r="AP23" s="158">
        <v>0.6650894928</v>
      </c>
      <c r="AQ23" s="100">
        <v>0.125</v>
      </c>
      <c r="AR23" s="100">
        <v>0.42857142857142855</v>
      </c>
      <c r="AS23" s="98">
        <v>299.0430622009569</v>
      </c>
      <c r="AT23" s="98">
        <v>299.0430622009569</v>
      </c>
      <c r="AU23" s="98" t="s">
        <v>634</v>
      </c>
      <c r="AV23" s="98">
        <v>328.94736842105266</v>
      </c>
      <c r="AW23" s="98">
        <v>657.8947368421053</v>
      </c>
      <c r="AX23" s="98">
        <v>388.75598086124404</v>
      </c>
      <c r="AY23" s="98">
        <v>687.799043062201</v>
      </c>
      <c r="AZ23" s="98">
        <v>448.5645933014354</v>
      </c>
      <c r="BA23" s="100" t="s">
        <v>634</v>
      </c>
      <c r="BB23" s="100" t="s">
        <v>634</v>
      </c>
      <c r="BC23" s="100" t="s">
        <v>634</v>
      </c>
      <c r="BD23" s="158">
        <v>0.4903845215</v>
      </c>
      <c r="BE23" s="158">
        <v>0.8818122101</v>
      </c>
      <c r="BF23" s="162">
        <v>535</v>
      </c>
      <c r="BG23" s="162">
        <v>442</v>
      </c>
      <c r="BH23" s="162">
        <v>861</v>
      </c>
      <c r="BI23" s="162">
        <v>507</v>
      </c>
      <c r="BJ23" s="162">
        <v>298</v>
      </c>
      <c r="BK23" s="97"/>
      <c r="BL23" s="97"/>
      <c r="BM23" s="97"/>
      <c r="BN23" s="97"/>
    </row>
    <row r="24" spans="1:66" ht="12.75">
      <c r="A24" s="79" t="s">
        <v>597</v>
      </c>
      <c r="B24" s="79" t="s">
        <v>332</v>
      </c>
      <c r="C24" s="79" t="s">
        <v>259</v>
      </c>
      <c r="D24" s="99">
        <v>9304</v>
      </c>
      <c r="E24" s="99">
        <v>1766</v>
      </c>
      <c r="F24" s="99" t="s">
        <v>387</v>
      </c>
      <c r="G24" s="99">
        <v>53</v>
      </c>
      <c r="H24" s="99">
        <v>30</v>
      </c>
      <c r="I24" s="99">
        <v>188</v>
      </c>
      <c r="J24" s="99">
        <v>931</v>
      </c>
      <c r="K24" s="99">
        <v>89</v>
      </c>
      <c r="L24" s="99">
        <v>1989</v>
      </c>
      <c r="M24" s="99">
        <v>553</v>
      </c>
      <c r="N24" s="99">
        <v>468</v>
      </c>
      <c r="O24" s="99">
        <v>191</v>
      </c>
      <c r="P24" s="159">
        <v>191</v>
      </c>
      <c r="Q24" s="99">
        <v>25</v>
      </c>
      <c r="R24" s="99">
        <v>36</v>
      </c>
      <c r="S24" s="99">
        <v>35</v>
      </c>
      <c r="T24" s="99">
        <v>38</v>
      </c>
      <c r="U24" s="99">
        <v>14</v>
      </c>
      <c r="V24" s="99">
        <v>24</v>
      </c>
      <c r="W24" s="99">
        <v>86</v>
      </c>
      <c r="X24" s="99">
        <v>43</v>
      </c>
      <c r="Y24" s="99">
        <v>88</v>
      </c>
      <c r="Z24" s="99">
        <v>62</v>
      </c>
      <c r="AA24" s="99" t="s">
        <v>634</v>
      </c>
      <c r="AB24" s="99" t="s">
        <v>634</v>
      </c>
      <c r="AC24" s="99" t="s">
        <v>634</v>
      </c>
      <c r="AD24" s="98" t="s">
        <v>364</v>
      </c>
      <c r="AE24" s="100">
        <v>0.18981083404987104</v>
      </c>
      <c r="AF24" s="100">
        <v>0.05</v>
      </c>
      <c r="AG24" s="98">
        <v>569.6474634565778</v>
      </c>
      <c r="AH24" s="98">
        <v>322.4419604471195</v>
      </c>
      <c r="AI24" s="100">
        <v>0.02</v>
      </c>
      <c r="AJ24" s="100">
        <v>0.683052</v>
      </c>
      <c r="AK24" s="100">
        <v>0.754237</v>
      </c>
      <c r="AL24" s="100">
        <v>0.821222</v>
      </c>
      <c r="AM24" s="100">
        <v>0.428019</v>
      </c>
      <c r="AN24" s="100">
        <v>0.625668</v>
      </c>
      <c r="AO24" s="98">
        <v>2052.8804815133276</v>
      </c>
      <c r="AP24" s="158">
        <v>0.9935459136999999</v>
      </c>
      <c r="AQ24" s="100">
        <v>0.13089005235602094</v>
      </c>
      <c r="AR24" s="100">
        <v>0.6944444444444444</v>
      </c>
      <c r="AS24" s="98">
        <v>376.1822871883061</v>
      </c>
      <c r="AT24" s="98">
        <v>408.4264832330181</v>
      </c>
      <c r="AU24" s="98">
        <v>150.47291487532243</v>
      </c>
      <c r="AV24" s="98">
        <v>257.9535683576956</v>
      </c>
      <c r="AW24" s="98">
        <v>924.3336199484093</v>
      </c>
      <c r="AX24" s="98">
        <v>462.1668099742046</v>
      </c>
      <c r="AY24" s="98">
        <v>945.8297506448839</v>
      </c>
      <c r="AZ24" s="98">
        <v>666.3800515907137</v>
      </c>
      <c r="BA24" s="100" t="s">
        <v>634</v>
      </c>
      <c r="BB24" s="100" t="s">
        <v>634</v>
      </c>
      <c r="BC24" s="100" t="s">
        <v>634</v>
      </c>
      <c r="BD24" s="158">
        <v>0.8576329040999999</v>
      </c>
      <c r="BE24" s="158">
        <v>1.144879379</v>
      </c>
      <c r="BF24" s="162">
        <v>1363</v>
      </c>
      <c r="BG24" s="162">
        <v>118</v>
      </c>
      <c r="BH24" s="162">
        <v>2422</v>
      </c>
      <c r="BI24" s="162">
        <v>1292</v>
      </c>
      <c r="BJ24" s="162">
        <v>748</v>
      </c>
      <c r="BK24" s="97"/>
      <c r="BL24" s="97"/>
      <c r="BM24" s="97"/>
      <c r="BN24" s="97"/>
    </row>
    <row r="25" spans="1:66" ht="12.75">
      <c r="A25" s="79" t="s">
        <v>624</v>
      </c>
      <c r="B25" s="79" t="s">
        <v>360</v>
      </c>
      <c r="C25" s="79" t="s">
        <v>259</v>
      </c>
      <c r="D25" s="99">
        <v>4400</v>
      </c>
      <c r="E25" s="99">
        <v>492</v>
      </c>
      <c r="F25" s="99" t="s">
        <v>387</v>
      </c>
      <c r="G25" s="99">
        <v>11</v>
      </c>
      <c r="H25" s="99">
        <v>9</v>
      </c>
      <c r="I25" s="99">
        <v>63</v>
      </c>
      <c r="J25" s="99">
        <v>356</v>
      </c>
      <c r="K25" s="99">
        <v>346</v>
      </c>
      <c r="L25" s="99">
        <v>995</v>
      </c>
      <c r="M25" s="99">
        <v>106</v>
      </c>
      <c r="N25" s="99">
        <v>101</v>
      </c>
      <c r="O25" s="99">
        <v>113</v>
      </c>
      <c r="P25" s="159">
        <v>113</v>
      </c>
      <c r="Q25" s="99">
        <v>8</v>
      </c>
      <c r="R25" s="99">
        <v>13</v>
      </c>
      <c r="S25" s="99">
        <v>20</v>
      </c>
      <c r="T25" s="99">
        <v>13</v>
      </c>
      <c r="U25" s="99" t="s">
        <v>634</v>
      </c>
      <c r="V25" s="99">
        <v>27</v>
      </c>
      <c r="W25" s="99">
        <v>23</v>
      </c>
      <c r="X25" s="99">
        <v>8</v>
      </c>
      <c r="Y25" s="99">
        <v>35</v>
      </c>
      <c r="Z25" s="99">
        <v>10</v>
      </c>
      <c r="AA25" s="99" t="s">
        <v>634</v>
      </c>
      <c r="AB25" s="99" t="s">
        <v>634</v>
      </c>
      <c r="AC25" s="99" t="s">
        <v>634</v>
      </c>
      <c r="AD25" s="98" t="s">
        <v>364</v>
      </c>
      <c r="AE25" s="100">
        <v>0.11181818181818182</v>
      </c>
      <c r="AF25" s="100">
        <v>0.06</v>
      </c>
      <c r="AG25" s="98">
        <v>250</v>
      </c>
      <c r="AH25" s="98">
        <v>204.54545454545453</v>
      </c>
      <c r="AI25" s="100">
        <v>0.013999999999999999</v>
      </c>
      <c r="AJ25" s="100">
        <v>0.785872</v>
      </c>
      <c r="AK25" s="100">
        <v>0.788155</v>
      </c>
      <c r="AL25" s="100">
        <v>0.79031</v>
      </c>
      <c r="AM25" s="100">
        <v>0.32716</v>
      </c>
      <c r="AN25" s="100">
        <v>0.554945</v>
      </c>
      <c r="AO25" s="98">
        <v>2568.181818181818</v>
      </c>
      <c r="AP25" s="158">
        <v>1.604809113</v>
      </c>
      <c r="AQ25" s="100">
        <v>0.07079646017699115</v>
      </c>
      <c r="AR25" s="100">
        <v>0.6153846153846154</v>
      </c>
      <c r="AS25" s="98">
        <v>454.54545454545456</v>
      </c>
      <c r="AT25" s="98">
        <v>295.45454545454544</v>
      </c>
      <c r="AU25" s="98" t="s">
        <v>634</v>
      </c>
      <c r="AV25" s="98">
        <v>613.6363636363636</v>
      </c>
      <c r="AW25" s="98">
        <v>522.7272727272727</v>
      </c>
      <c r="AX25" s="98">
        <v>181.8181818181818</v>
      </c>
      <c r="AY25" s="98">
        <v>795.4545454545455</v>
      </c>
      <c r="AZ25" s="98">
        <v>227.27272727272728</v>
      </c>
      <c r="BA25" s="100" t="s">
        <v>634</v>
      </c>
      <c r="BB25" s="100" t="s">
        <v>634</v>
      </c>
      <c r="BC25" s="100" t="s">
        <v>634</v>
      </c>
      <c r="BD25" s="158">
        <v>1.322589874</v>
      </c>
      <c r="BE25" s="158">
        <v>1.929423065</v>
      </c>
      <c r="BF25" s="162">
        <v>453</v>
      </c>
      <c r="BG25" s="162">
        <v>439</v>
      </c>
      <c r="BH25" s="162">
        <v>1259</v>
      </c>
      <c r="BI25" s="162">
        <v>324</v>
      </c>
      <c r="BJ25" s="162">
        <v>182</v>
      </c>
      <c r="BK25" s="97"/>
      <c r="BL25" s="97"/>
      <c r="BM25" s="97"/>
      <c r="BN25" s="97"/>
    </row>
    <row r="26" spans="1:66" ht="12.75">
      <c r="A26" s="79" t="s">
        <v>549</v>
      </c>
      <c r="B26" s="79" t="s">
        <v>283</v>
      </c>
      <c r="C26" s="79" t="s">
        <v>259</v>
      </c>
      <c r="D26" s="99">
        <v>16028</v>
      </c>
      <c r="E26" s="99">
        <v>2144</v>
      </c>
      <c r="F26" s="99" t="s">
        <v>387</v>
      </c>
      <c r="G26" s="99">
        <v>56</v>
      </c>
      <c r="H26" s="99">
        <v>30</v>
      </c>
      <c r="I26" s="99">
        <v>280</v>
      </c>
      <c r="J26" s="99">
        <v>1305</v>
      </c>
      <c r="K26" s="99">
        <v>14</v>
      </c>
      <c r="L26" s="99">
        <v>3091</v>
      </c>
      <c r="M26" s="99">
        <v>453</v>
      </c>
      <c r="N26" s="99">
        <v>493</v>
      </c>
      <c r="O26" s="99">
        <v>252</v>
      </c>
      <c r="P26" s="159">
        <v>252</v>
      </c>
      <c r="Q26" s="99">
        <v>35</v>
      </c>
      <c r="R26" s="99">
        <v>51</v>
      </c>
      <c r="S26" s="99">
        <v>67</v>
      </c>
      <c r="T26" s="99">
        <v>50</v>
      </c>
      <c r="U26" s="99">
        <v>7</v>
      </c>
      <c r="V26" s="99">
        <v>37</v>
      </c>
      <c r="W26" s="99">
        <v>93</v>
      </c>
      <c r="X26" s="99">
        <v>34</v>
      </c>
      <c r="Y26" s="99">
        <v>129</v>
      </c>
      <c r="Z26" s="99">
        <v>90</v>
      </c>
      <c r="AA26" s="99" t="s">
        <v>634</v>
      </c>
      <c r="AB26" s="99" t="s">
        <v>634</v>
      </c>
      <c r="AC26" s="99" t="s">
        <v>634</v>
      </c>
      <c r="AD26" s="98" t="s">
        <v>364</v>
      </c>
      <c r="AE26" s="100">
        <v>0.13376590965809831</v>
      </c>
      <c r="AF26" s="100">
        <v>0.08</v>
      </c>
      <c r="AG26" s="98">
        <v>349.3885700024956</v>
      </c>
      <c r="AH26" s="98">
        <v>187.17244821562267</v>
      </c>
      <c r="AI26" s="100">
        <v>0.017</v>
      </c>
      <c r="AJ26" s="100">
        <v>0.750431</v>
      </c>
      <c r="AK26" s="100">
        <v>0.5</v>
      </c>
      <c r="AL26" s="100">
        <v>0.76472</v>
      </c>
      <c r="AM26" s="100">
        <v>0.308163</v>
      </c>
      <c r="AN26" s="100">
        <v>0.557062</v>
      </c>
      <c r="AO26" s="98">
        <v>1572.2485650112303</v>
      </c>
      <c r="AP26" s="158">
        <v>0.9177620697000001</v>
      </c>
      <c r="AQ26" s="100">
        <v>0.1388888888888889</v>
      </c>
      <c r="AR26" s="100">
        <v>0.6862745098039216</v>
      </c>
      <c r="AS26" s="98">
        <v>418.0184676815573</v>
      </c>
      <c r="AT26" s="98">
        <v>311.9540803593711</v>
      </c>
      <c r="AU26" s="98">
        <v>43.67357125031195</v>
      </c>
      <c r="AV26" s="98">
        <v>230.8460194659346</v>
      </c>
      <c r="AW26" s="98">
        <v>580.2345894684303</v>
      </c>
      <c r="AX26" s="98">
        <v>212.12877464437236</v>
      </c>
      <c r="AY26" s="98">
        <v>804.8415273271775</v>
      </c>
      <c r="AZ26" s="98">
        <v>561.517344646868</v>
      </c>
      <c r="BA26" s="100" t="s">
        <v>634</v>
      </c>
      <c r="BB26" s="100" t="s">
        <v>634</v>
      </c>
      <c r="BC26" s="100" t="s">
        <v>634</v>
      </c>
      <c r="BD26" s="158">
        <v>0.8079374695</v>
      </c>
      <c r="BE26" s="158">
        <v>1.0383502199999999</v>
      </c>
      <c r="BF26" s="162">
        <v>1739</v>
      </c>
      <c r="BG26" s="162">
        <v>28</v>
      </c>
      <c r="BH26" s="162">
        <v>4042</v>
      </c>
      <c r="BI26" s="162">
        <v>1470</v>
      </c>
      <c r="BJ26" s="162">
        <v>885</v>
      </c>
      <c r="BK26" s="97"/>
      <c r="BL26" s="97"/>
      <c r="BM26" s="97"/>
      <c r="BN26" s="97"/>
    </row>
    <row r="27" spans="1:66" ht="12.75">
      <c r="A27" s="79" t="s">
        <v>616</v>
      </c>
      <c r="B27" s="79" t="s">
        <v>352</v>
      </c>
      <c r="C27" s="79" t="s">
        <v>259</v>
      </c>
      <c r="D27" s="99">
        <v>2610</v>
      </c>
      <c r="E27" s="99">
        <v>294</v>
      </c>
      <c r="F27" s="99" t="s">
        <v>386</v>
      </c>
      <c r="G27" s="99">
        <v>11</v>
      </c>
      <c r="H27" s="99" t="s">
        <v>634</v>
      </c>
      <c r="I27" s="99">
        <v>18</v>
      </c>
      <c r="J27" s="99">
        <v>134</v>
      </c>
      <c r="K27" s="99" t="s">
        <v>634</v>
      </c>
      <c r="L27" s="99">
        <v>400</v>
      </c>
      <c r="M27" s="99">
        <v>32</v>
      </c>
      <c r="N27" s="99">
        <v>41</v>
      </c>
      <c r="O27" s="99">
        <v>23</v>
      </c>
      <c r="P27" s="159">
        <v>23</v>
      </c>
      <c r="Q27" s="99" t="s">
        <v>634</v>
      </c>
      <c r="R27" s="99">
        <v>6</v>
      </c>
      <c r="S27" s="99">
        <v>13</v>
      </c>
      <c r="T27" s="99" t="s">
        <v>634</v>
      </c>
      <c r="U27" s="99" t="s">
        <v>634</v>
      </c>
      <c r="V27" s="99" t="s">
        <v>634</v>
      </c>
      <c r="W27" s="99" t="s">
        <v>634</v>
      </c>
      <c r="X27" s="99" t="s">
        <v>634</v>
      </c>
      <c r="Y27" s="99">
        <v>15</v>
      </c>
      <c r="Z27" s="99" t="s">
        <v>634</v>
      </c>
      <c r="AA27" s="99" t="s">
        <v>634</v>
      </c>
      <c r="AB27" s="99" t="s">
        <v>634</v>
      </c>
      <c r="AC27" s="99" t="s">
        <v>634</v>
      </c>
      <c r="AD27" s="98" t="s">
        <v>364</v>
      </c>
      <c r="AE27" s="100">
        <v>0.11264367816091954</v>
      </c>
      <c r="AF27" s="100">
        <v>0.15</v>
      </c>
      <c r="AG27" s="98">
        <v>421.455938697318</v>
      </c>
      <c r="AH27" s="98" t="s">
        <v>634</v>
      </c>
      <c r="AI27" s="100">
        <v>0.006999999999999999</v>
      </c>
      <c r="AJ27" s="100">
        <v>0.606335</v>
      </c>
      <c r="AK27" s="100" t="s">
        <v>634</v>
      </c>
      <c r="AL27" s="100">
        <v>0.706714</v>
      </c>
      <c r="AM27" s="100">
        <v>0.142222</v>
      </c>
      <c r="AN27" s="100">
        <v>0.344538</v>
      </c>
      <c r="AO27" s="98">
        <v>881.2260536398468</v>
      </c>
      <c r="AP27" s="158">
        <v>0.6013767242</v>
      </c>
      <c r="AQ27" s="100" t="s">
        <v>634</v>
      </c>
      <c r="AR27" s="100" t="s">
        <v>634</v>
      </c>
      <c r="AS27" s="98">
        <v>498.08429118773944</v>
      </c>
      <c r="AT27" s="98" t="s">
        <v>634</v>
      </c>
      <c r="AU27" s="98" t="s">
        <v>634</v>
      </c>
      <c r="AV27" s="98" t="s">
        <v>634</v>
      </c>
      <c r="AW27" s="98" t="s">
        <v>634</v>
      </c>
      <c r="AX27" s="98" t="s">
        <v>634</v>
      </c>
      <c r="AY27" s="98">
        <v>574.7126436781609</v>
      </c>
      <c r="AZ27" s="98" t="s">
        <v>634</v>
      </c>
      <c r="BA27" s="100" t="s">
        <v>634</v>
      </c>
      <c r="BB27" s="100" t="s">
        <v>634</v>
      </c>
      <c r="BC27" s="100" t="s">
        <v>634</v>
      </c>
      <c r="BD27" s="158">
        <v>0.3812212753</v>
      </c>
      <c r="BE27" s="158">
        <v>0.9023603821</v>
      </c>
      <c r="BF27" s="162">
        <v>221</v>
      </c>
      <c r="BG27" s="162" t="s">
        <v>634</v>
      </c>
      <c r="BH27" s="162">
        <v>566</v>
      </c>
      <c r="BI27" s="162">
        <v>225</v>
      </c>
      <c r="BJ27" s="162">
        <v>119</v>
      </c>
      <c r="BK27" s="97"/>
      <c r="BL27" s="97"/>
      <c r="BM27" s="97"/>
      <c r="BN27" s="97"/>
    </row>
    <row r="28" spans="1:66" ht="12.75">
      <c r="A28" s="79" t="s">
        <v>551</v>
      </c>
      <c r="B28" s="79" t="s">
        <v>285</v>
      </c>
      <c r="C28" s="79" t="s">
        <v>259</v>
      </c>
      <c r="D28" s="99">
        <v>13212</v>
      </c>
      <c r="E28" s="99">
        <v>2008</v>
      </c>
      <c r="F28" s="99" t="s">
        <v>386</v>
      </c>
      <c r="G28" s="99">
        <v>59</v>
      </c>
      <c r="H28" s="99">
        <v>43</v>
      </c>
      <c r="I28" s="99">
        <v>184</v>
      </c>
      <c r="J28" s="99">
        <v>987</v>
      </c>
      <c r="K28" s="99">
        <v>878</v>
      </c>
      <c r="L28" s="99">
        <v>2316</v>
      </c>
      <c r="M28" s="99">
        <v>338</v>
      </c>
      <c r="N28" s="99">
        <v>367</v>
      </c>
      <c r="O28" s="99">
        <v>280</v>
      </c>
      <c r="P28" s="159">
        <v>280</v>
      </c>
      <c r="Q28" s="99">
        <v>27</v>
      </c>
      <c r="R28" s="99">
        <v>43</v>
      </c>
      <c r="S28" s="99">
        <v>69</v>
      </c>
      <c r="T28" s="99">
        <v>43</v>
      </c>
      <c r="U28" s="99">
        <v>9</v>
      </c>
      <c r="V28" s="99">
        <v>60</v>
      </c>
      <c r="W28" s="99">
        <v>91</v>
      </c>
      <c r="X28" s="99">
        <v>33</v>
      </c>
      <c r="Y28" s="99">
        <v>97</v>
      </c>
      <c r="Z28" s="99">
        <v>77</v>
      </c>
      <c r="AA28" s="99" t="s">
        <v>634</v>
      </c>
      <c r="AB28" s="99" t="s">
        <v>634</v>
      </c>
      <c r="AC28" s="99" t="s">
        <v>634</v>
      </c>
      <c r="AD28" s="98" t="s">
        <v>364</v>
      </c>
      <c r="AE28" s="100">
        <v>0.15198304571601573</v>
      </c>
      <c r="AF28" s="100">
        <v>0.15</v>
      </c>
      <c r="AG28" s="98">
        <v>446.5637299424765</v>
      </c>
      <c r="AH28" s="98">
        <v>325.46170148349984</v>
      </c>
      <c r="AI28" s="100">
        <v>0.013999999999999999</v>
      </c>
      <c r="AJ28" s="100">
        <v>0.768692</v>
      </c>
      <c r="AK28" s="100">
        <v>0.717907</v>
      </c>
      <c r="AL28" s="100">
        <v>0.68218</v>
      </c>
      <c r="AM28" s="100">
        <v>0.288396</v>
      </c>
      <c r="AN28" s="100">
        <v>0.50831</v>
      </c>
      <c r="AO28" s="98">
        <v>2119.285498032092</v>
      </c>
      <c r="AP28" s="158">
        <v>1.211971436</v>
      </c>
      <c r="AQ28" s="100">
        <v>0.09642857142857143</v>
      </c>
      <c r="AR28" s="100">
        <v>0.627906976744186</v>
      </c>
      <c r="AS28" s="98">
        <v>522.2524977293369</v>
      </c>
      <c r="AT28" s="98">
        <v>325.46170148349984</v>
      </c>
      <c r="AU28" s="98">
        <v>68.11989100817439</v>
      </c>
      <c r="AV28" s="98">
        <v>454.1326067211626</v>
      </c>
      <c r="AW28" s="98">
        <v>688.76778686043</v>
      </c>
      <c r="AX28" s="98">
        <v>249.77293369663943</v>
      </c>
      <c r="AY28" s="98">
        <v>734.1810475325461</v>
      </c>
      <c r="AZ28" s="98">
        <v>582.8035119588253</v>
      </c>
      <c r="BA28" s="100" t="s">
        <v>634</v>
      </c>
      <c r="BB28" s="100" t="s">
        <v>634</v>
      </c>
      <c r="BC28" s="100" t="s">
        <v>634</v>
      </c>
      <c r="BD28" s="158">
        <v>1.074156036</v>
      </c>
      <c r="BE28" s="158">
        <v>1.362565918</v>
      </c>
      <c r="BF28" s="162">
        <v>1284</v>
      </c>
      <c r="BG28" s="162">
        <v>1223</v>
      </c>
      <c r="BH28" s="162">
        <v>3395</v>
      </c>
      <c r="BI28" s="162">
        <v>1172</v>
      </c>
      <c r="BJ28" s="162">
        <v>722</v>
      </c>
      <c r="BK28" s="97"/>
      <c r="BL28" s="97"/>
      <c r="BM28" s="97"/>
      <c r="BN28" s="97"/>
    </row>
    <row r="29" spans="1:66" ht="12.75">
      <c r="A29" s="79" t="s">
        <v>638</v>
      </c>
      <c r="B29" s="79" t="s">
        <v>350</v>
      </c>
      <c r="C29" s="79" t="s">
        <v>259</v>
      </c>
      <c r="D29" s="99">
        <v>6806</v>
      </c>
      <c r="E29" s="99">
        <v>1147</v>
      </c>
      <c r="F29" s="99" t="s">
        <v>387</v>
      </c>
      <c r="G29" s="99">
        <v>41</v>
      </c>
      <c r="H29" s="99">
        <v>13</v>
      </c>
      <c r="I29" s="99">
        <v>156</v>
      </c>
      <c r="J29" s="99">
        <v>617</v>
      </c>
      <c r="K29" s="99">
        <v>579</v>
      </c>
      <c r="L29" s="99">
        <v>1324</v>
      </c>
      <c r="M29" s="99">
        <v>253</v>
      </c>
      <c r="N29" s="99">
        <v>226</v>
      </c>
      <c r="O29" s="99">
        <v>183</v>
      </c>
      <c r="P29" s="159">
        <v>183</v>
      </c>
      <c r="Q29" s="99">
        <v>24</v>
      </c>
      <c r="R29" s="99">
        <v>37</v>
      </c>
      <c r="S29" s="99">
        <v>31</v>
      </c>
      <c r="T29" s="99">
        <v>34</v>
      </c>
      <c r="U29" s="99" t="s">
        <v>634</v>
      </c>
      <c r="V29" s="99">
        <v>50</v>
      </c>
      <c r="W29" s="99">
        <v>55</v>
      </c>
      <c r="X29" s="99">
        <v>28</v>
      </c>
      <c r="Y29" s="99">
        <v>74</v>
      </c>
      <c r="Z29" s="99">
        <v>45</v>
      </c>
      <c r="AA29" s="99" t="s">
        <v>634</v>
      </c>
      <c r="AB29" s="99" t="s">
        <v>634</v>
      </c>
      <c r="AC29" s="99" t="s">
        <v>634</v>
      </c>
      <c r="AD29" s="98" t="s">
        <v>364</v>
      </c>
      <c r="AE29" s="100">
        <v>0.16852776961504554</v>
      </c>
      <c r="AF29" s="100">
        <v>0.06</v>
      </c>
      <c r="AG29" s="98">
        <v>602.4096385542168</v>
      </c>
      <c r="AH29" s="98">
        <v>191.00793417572729</v>
      </c>
      <c r="AI29" s="100">
        <v>0.023</v>
      </c>
      <c r="AJ29" s="100">
        <v>0.77904</v>
      </c>
      <c r="AK29" s="100">
        <v>0.794239</v>
      </c>
      <c r="AL29" s="100">
        <v>0.830615</v>
      </c>
      <c r="AM29" s="100">
        <v>0.389231</v>
      </c>
      <c r="AN29" s="100">
        <v>0.579487</v>
      </c>
      <c r="AO29" s="98">
        <v>2688.8039964736995</v>
      </c>
      <c r="AP29" s="158">
        <v>1.435091248</v>
      </c>
      <c r="AQ29" s="100">
        <v>0.13114754098360656</v>
      </c>
      <c r="AR29" s="100">
        <v>0.6486486486486487</v>
      </c>
      <c r="AS29" s="98">
        <v>455.480458419042</v>
      </c>
      <c r="AT29" s="98">
        <v>499.55921245959445</v>
      </c>
      <c r="AU29" s="98" t="s">
        <v>634</v>
      </c>
      <c r="AV29" s="98">
        <v>734.6459006758743</v>
      </c>
      <c r="AW29" s="98">
        <v>808.1104907434617</v>
      </c>
      <c r="AX29" s="98">
        <v>411.40170437848957</v>
      </c>
      <c r="AY29" s="98">
        <v>1087.275933000294</v>
      </c>
      <c r="AZ29" s="98">
        <v>661.1813106082868</v>
      </c>
      <c r="BA29" s="101" t="s">
        <v>634</v>
      </c>
      <c r="BB29" s="101" t="s">
        <v>634</v>
      </c>
      <c r="BC29" s="101" t="s">
        <v>634</v>
      </c>
      <c r="BD29" s="158">
        <v>1.234692688</v>
      </c>
      <c r="BE29" s="158">
        <v>1.658748627</v>
      </c>
      <c r="BF29" s="162">
        <v>792</v>
      </c>
      <c r="BG29" s="162">
        <v>729</v>
      </c>
      <c r="BH29" s="162">
        <v>1594</v>
      </c>
      <c r="BI29" s="162">
        <v>650</v>
      </c>
      <c r="BJ29" s="162">
        <v>390</v>
      </c>
      <c r="BK29" s="97"/>
      <c r="BL29" s="97"/>
      <c r="BM29" s="97"/>
      <c r="BN29" s="97"/>
    </row>
    <row r="30" spans="1:66" ht="12.75">
      <c r="A30" s="79" t="s">
        <v>603</v>
      </c>
      <c r="B30" s="79" t="s">
        <v>338</v>
      </c>
      <c r="C30" s="79" t="s">
        <v>259</v>
      </c>
      <c r="D30" s="99">
        <v>7026</v>
      </c>
      <c r="E30" s="99">
        <v>484</v>
      </c>
      <c r="F30" s="99" t="s">
        <v>386</v>
      </c>
      <c r="G30" s="99">
        <v>30</v>
      </c>
      <c r="H30" s="99" t="s">
        <v>634</v>
      </c>
      <c r="I30" s="99">
        <v>66</v>
      </c>
      <c r="J30" s="99">
        <v>291</v>
      </c>
      <c r="K30" s="99">
        <v>8</v>
      </c>
      <c r="L30" s="99">
        <v>1283</v>
      </c>
      <c r="M30" s="99">
        <v>87</v>
      </c>
      <c r="N30" s="99">
        <v>99</v>
      </c>
      <c r="O30" s="99">
        <v>57</v>
      </c>
      <c r="P30" s="159">
        <v>57</v>
      </c>
      <c r="Q30" s="99">
        <v>7</v>
      </c>
      <c r="R30" s="99">
        <v>14</v>
      </c>
      <c r="S30" s="99">
        <v>18</v>
      </c>
      <c r="T30" s="99">
        <v>8</v>
      </c>
      <c r="U30" s="99" t="s">
        <v>634</v>
      </c>
      <c r="V30" s="99">
        <v>7</v>
      </c>
      <c r="W30" s="99">
        <v>28</v>
      </c>
      <c r="X30" s="99" t="s">
        <v>634</v>
      </c>
      <c r="Y30" s="99">
        <v>37</v>
      </c>
      <c r="Z30" s="99">
        <v>28</v>
      </c>
      <c r="AA30" s="99" t="s">
        <v>634</v>
      </c>
      <c r="AB30" s="99" t="s">
        <v>634</v>
      </c>
      <c r="AC30" s="99" t="s">
        <v>634</v>
      </c>
      <c r="AD30" s="98" t="s">
        <v>364</v>
      </c>
      <c r="AE30" s="100">
        <v>0.06888699117563336</v>
      </c>
      <c r="AF30" s="100">
        <v>0.14</v>
      </c>
      <c r="AG30" s="98">
        <v>426.9854824935952</v>
      </c>
      <c r="AH30" s="98" t="s">
        <v>634</v>
      </c>
      <c r="AI30" s="100">
        <v>0.009000000000000001</v>
      </c>
      <c r="AJ30" s="100">
        <v>0.569472</v>
      </c>
      <c r="AK30" s="100">
        <v>0.421053</v>
      </c>
      <c r="AL30" s="100">
        <v>0.669974</v>
      </c>
      <c r="AM30" s="100">
        <v>0.237057</v>
      </c>
      <c r="AN30" s="100">
        <v>0.478261</v>
      </c>
      <c r="AO30" s="98">
        <v>811.2724167378309</v>
      </c>
      <c r="AP30" s="158">
        <v>0.6224471282999999</v>
      </c>
      <c r="AQ30" s="100">
        <v>0.12280701754385964</v>
      </c>
      <c r="AR30" s="100">
        <v>0.5</v>
      </c>
      <c r="AS30" s="98">
        <v>256.19128949615714</v>
      </c>
      <c r="AT30" s="98">
        <v>113.86279533162539</v>
      </c>
      <c r="AU30" s="98" t="s">
        <v>634</v>
      </c>
      <c r="AV30" s="98">
        <v>99.62994591517221</v>
      </c>
      <c r="AW30" s="98">
        <v>398.51978366068886</v>
      </c>
      <c r="AX30" s="98" t="s">
        <v>634</v>
      </c>
      <c r="AY30" s="98">
        <v>526.6154284087675</v>
      </c>
      <c r="AZ30" s="98">
        <v>398.51978366068886</v>
      </c>
      <c r="BA30" s="100" t="s">
        <v>634</v>
      </c>
      <c r="BB30" s="100" t="s">
        <v>634</v>
      </c>
      <c r="BC30" s="100" t="s">
        <v>634</v>
      </c>
      <c r="BD30" s="158">
        <v>0.4714353561</v>
      </c>
      <c r="BE30" s="158">
        <v>0.8064524077999999</v>
      </c>
      <c r="BF30" s="162">
        <v>511</v>
      </c>
      <c r="BG30" s="162">
        <v>19</v>
      </c>
      <c r="BH30" s="162">
        <v>1915</v>
      </c>
      <c r="BI30" s="162">
        <v>367</v>
      </c>
      <c r="BJ30" s="162">
        <v>207</v>
      </c>
      <c r="BK30" s="97"/>
      <c r="BL30" s="97"/>
      <c r="BM30" s="97"/>
      <c r="BN30" s="97"/>
    </row>
    <row r="31" spans="1:66" ht="12.75">
      <c r="A31" s="79" t="s">
        <v>566</v>
      </c>
      <c r="B31" s="79" t="s">
        <v>301</v>
      </c>
      <c r="C31" s="79" t="s">
        <v>259</v>
      </c>
      <c r="D31" s="99">
        <v>4541</v>
      </c>
      <c r="E31" s="99">
        <v>655</v>
      </c>
      <c r="F31" s="99" t="s">
        <v>387</v>
      </c>
      <c r="G31" s="99">
        <v>21</v>
      </c>
      <c r="H31" s="99">
        <v>14</v>
      </c>
      <c r="I31" s="99">
        <v>81</v>
      </c>
      <c r="J31" s="99">
        <v>530</v>
      </c>
      <c r="K31" s="99">
        <v>518</v>
      </c>
      <c r="L31" s="99">
        <v>1002</v>
      </c>
      <c r="M31" s="99">
        <v>208</v>
      </c>
      <c r="N31" s="99">
        <v>179</v>
      </c>
      <c r="O31" s="99">
        <v>74</v>
      </c>
      <c r="P31" s="159">
        <v>74</v>
      </c>
      <c r="Q31" s="99">
        <v>14</v>
      </c>
      <c r="R31" s="99">
        <v>25</v>
      </c>
      <c r="S31" s="99">
        <v>18</v>
      </c>
      <c r="T31" s="99">
        <v>12</v>
      </c>
      <c r="U31" s="99" t="s">
        <v>634</v>
      </c>
      <c r="V31" s="99">
        <v>19</v>
      </c>
      <c r="W31" s="99">
        <v>36</v>
      </c>
      <c r="X31" s="99">
        <v>10</v>
      </c>
      <c r="Y31" s="99">
        <v>37</v>
      </c>
      <c r="Z31" s="99">
        <v>41</v>
      </c>
      <c r="AA31" s="99" t="s">
        <v>634</v>
      </c>
      <c r="AB31" s="99" t="s">
        <v>634</v>
      </c>
      <c r="AC31" s="99" t="s">
        <v>634</v>
      </c>
      <c r="AD31" s="98" t="s">
        <v>364</v>
      </c>
      <c r="AE31" s="100">
        <v>0.14424135652939882</v>
      </c>
      <c r="AF31" s="100">
        <v>0.07</v>
      </c>
      <c r="AG31" s="98">
        <v>462.45320414005727</v>
      </c>
      <c r="AH31" s="98">
        <v>308.30213609337153</v>
      </c>
      <c r="AI31" s="100">
        <v>0.018000000000000002</v>
      </c>
      <c r="AJ31" s="100">
        <v>0.801815</v>
      </c>
      <c r="AK31" s="100">
        <v>0.817035</v>
      </c>
      <c r="AL31" s="100">
        <v>0.787736</v>
      </c>
      <c r="AM31" s="100">
        <v>0.388785</v>
      </c>
      <c r="AN31" s="100">
        <v>0.579288</v>
      </c>
      <c r="AO31" s="98">
        <v>1629.5970050649637</v>
      </c>
      <c r="AP31" s="158">
        <v>0.8598681641</v>
      </c>
      <c r="AQ31" s="100">
        <v>0.1891891891891892</v>
      </c>
      <c r="AR31" s="100">
        <v>0.56</v>
      </c>
      <c r="AS31" s="98">
        <v>396.38846069147763</v>
      </c>
      <c r="AT31" s="98">
        <v>264.2589737943184</v>
      </c>
      <c r="AU31" s="98" t="s">
        <v>634</v>
      </c>
      <c r="AV31" s="98">
        <v>418.41004184100416</v>
      </c>
      <c r="AW31" s="98">
        <v>792.7769213829553</v>
      </c>
      <c r="AX31" s="98">
        <v>220.21581149526537</v>
      </c>
      <c r="AY31" s="98">
        <v>814.7985025324818</v>
      </c>
      <c r="AZ31" s="98">
        <v>902.884827130588</v>
      </c>
      <c r="BA31" s="100" t="s">
        <v>634</v>
      </c>
      <c r="BB31" s="100" t="s">
        <v>634</v>
      </c>
      <c r="BC31" s="100" t="s">
        <v>634</v>
      </c>
      <c r="BD31" s="158">
        <v>0.6751815032999999</v>
      </c>
      <c r="BE31" s="158">
        <v>1.079485779</v>
      </c>
      <c r="BF31" s="162">
        <v>661</v>
      </c>
      <c r="BG31" s="162">
        <v>634</v>
      </c>
      <c r="BH31" s="162">
        <v>1272</v>
      </c>
      <c r="BI31" s="162">
        <v>535</v>
      </c>
      <c r="BJ31" s="162">
        <v>309</v>
      </c>
      <c r="BK31" s="97"/>
      <c r="BL31" s="97"/>
      <c r="BM31" s="97"/>
      <c r="BN31" s="97"/>
    </row>
    <row r="32" spans="1:66" ht="12.75">
      <c r="A32" s="79" t="s">
        <v>553</v>
      </c>
      <c r="B32" s="79" t="s">
        <v>287</v>
      </c>
      <c r="C32" s="79" t="s">
        <v>259</v>
      </c>
      <c r="D32" s="99">
        <v>13065</v>
      </c>
      <c r="E32" s="99">
        <v>2791</v>
      </c>
      <c r="F32" s="99" t="s">
        <v>387</v>
      </c>
      <c r="G32" s="99">
        <v>69</v>
      </c>
      <c r="H32" s="99">
        <v>38</v>
      </c>
      <c r="I32" s="99">
        <v>357</v>
      </c>
      <c r="J32" s="99">
        <v>1607</v>
      </c>
      <c r="K32" s="99">
        <v>1563</v>
      </c>
      <c r="L32" s="99">
        <v>2674</v>
      </c>
      <c r="M32" s="99">
        <v>739</v>
      </c>
      <c r="N32" s="99">
        <v>662</v>
      </c>
      <c r="O32" s="99">
        <v>348</v>
      </c>
      <c r="P32" s="159">
        <v>348</v>
      </c>
      <c r="Q32" s="99">
        <v>42</v>
      </c>
      <c r="R32" s="99">
        <v>73</v>
      </c>
      <c r="S32" s="99">
        <v>72</v>
      </c>
      <c r="T32" s="99">
        <v>61</v>
      </c>
      <c r="U32" s="99">
        <v>10</v>
      </c>
      <c r="V32" s="99">
        <v>75</v>
      </c>
      <c r="W32" s="99">
        <v>106</v>
      </c>
      <c r="X32" s="99">
        <v>38</v>
      </c>
      <c r="Y32" s="99">
        <v>150</v>
      </c>
      <c r="Z32" s="99">
        <v>89</v>
      </c>
      <c r="AA32" s="99" t="s">
        <v>634</v>
      </c>
      <c r="AB32" s="99" t="s">
        <v>634</v>
      </c>
      <c r="AC32" s="99" t="s">
        <v>634</v>
      </c>
      <c r="AD32" s="98" t="s">
        <v>364</v>
      </c>
      <c r="AE32" s="100">
        <v>0.2136241867585151</v>
      </c>
      <c r="AF32" s="100">
        <v>0.05</v>
      </c>
      <c r="AG32" s="98">
        <v>528.1285878300804</v>
      </c>
      <c r="AH32" s="98">
        <v>290.8534251817834</v>
      </c>
      <c r="AI32" s="100">
        <v>0.027000000000000003</v>
      </c>
      <c r="AJ32" s="100">
        <v>0.824949</v>
      </c>
      <c r="AK32" s="100">
        <v>0.836276</v>
      </c>
      <c r="AL32" s="100">
        <v>0.82201</v>
      </c>
      <c r="AM32" s="100">
        <v>0.399028</v>
      </c>
      <c r="AN32" s="100">
        <v>0.6141</v>
      </c>
      <c r="AO32" s="98">
        <v>2663.6050516647533</v>
      </c>
      <c r="AP32" s="158">
        <v>1.241689453</v>
      </c>
      <c r="AQ32" s="100">
        <v>0.1206896551724138</v>
      </c>
      <c r="AR32" s="100">
        <v>0.5753424657534246</v>
      </c>
      <c r="AS32" s="98">
        <v>551.0907003444316</v>
      </c>
      <c r="AT32" s="98">
        <v>466.89628779181015</v>
      </c>
      <c r="AU32" s="98">
        <v>76.54037504783773</v>
      </c>
      <c r="AV32" s="98">
        <v>574.052812858783</v>
      </c>
      <c r="AW32" s="98">
        <v>811.3279755070799</v>
      </c>
      <c r="AX32" s="98">
        <v>290.8534251817834</v>
      </c>
      <c r="AY32" s="98">
        <v>1148.105625717566</v>
      </c>
      <c r="AZ32" s="98">
        <v>681.2093379257558</v>
      </c>
      <c r="BA32" s="100" t="s">
        <v>634</v>
      </c>
      <c r="BB32" s="100" t="s">
        <v>634</v>
      </c>
      <c r="BC32" s="100" t="s">
        <v>634</v>
      </c>
      <c r="BD32" s="158">
        <v>1.114642944</v>
      </c>
      <c r="BE32" s="158">
        <v>1.3792491150000001</v>
      </c>
      <c r="BF32" s="162">
        <v>1948</v>
      </c>
      <c r="BG32" s="162">
        <v>1869</v>
      </c>
      <c r="BH32" s="162">
        <v>3253</v>
      </c>
      <c r="BI32" s="162">
        <v>1852</v>
      </c>
      <c r="BJ32" s="162">
        <v>1078</v>
      </c>
      <c r="BK32" s="97"/>
      <c r="BL32" s="97"/>
      <c r="BM32" s="97"/>
      <c r="BN32" s="97"/>
    </row>
    <row r="33" spans="1:66" ht="12.75">
      <c r="A33" s="79" t="s">
        <v>611</v>
      </c>
      <c r="B33" s="79" t="s">
        <v>346</v>
      </c>
      <c r="C33" s="79" t="s">
        <v>259</v>
      </c>
      <c r="D33" s="99">
        <v>4241</v>
      </c>
      <c r="E33" s="99">
        <v>639</v>
      </c>
      <c r="F33" s="99" t="s">
        <v>387</v>
      </c>
      <c r="G33" s="99">
        <v>18</v>
      </c>
      <c r="H33" s="99">
        <v>10</v>
      </c>
      <c r="I33" s="99">
        <v>63</v>
      </c>
      <c r="J33" s="99">
        <v>395</v>
      </c>
      <c r="K33" s="99">
        <v>10</v>
      </c>
      <c r="L33" s="99">
        <v>928</v>
      </c>
      <c r="M33" s="99">
        <v>135</v>
      </c>
      <c r="N33" s="99">
        <v>139</v>
      </c>
      <c r="O33" s="99">
        <v>75</v>
      </c>
      <c r="P33" s="159">
        <v>75</v>
      </c>
      <c r="Q33" s="99">
        <v>7</v>
      </c>
      <c r="R33" s="99">
        <v>15</v>
      </c>
      <c r="S33" s="99">
        <v>20</v>
      </c>
      <c r="T33" s="99">
        <v>15</v>
      </c>
      <c r="U33" s="99" t="s">
        <v>634</v>
      </c>
      <c r="V33" s="99">
        <v>14</v>
      </c>
      <c r="W33" s="99">
        <v>23</v>
      </c>
      <c r="X33" s="99">
        <v>9</v>
      </c>
      <c r="Y33" s="99">
        <v>35</v>
      </c>
      <c r="Z33" s="99">
        <v>31</v>
      </c>
      <c r="AA33" s="99" t="s">
        <v>634</v>
      </c>
      <c r="AB33" s="99" t="s">
        <v>634</v>
      </c>
      <c r="AC33" s="99" t="s">
        <v>634</v>
      </c>
      <c r="AD33" s="98" t="s">
        <v>364</v>
      </c>
      <c r="AE33" s="100">
        <v>0.15067201131808536</v>
      </c>
      <c r="AF33" s="100">
        <v>0.07</v>
      </c>
      <c r="AG33" s="98">
        <v>424.4282008960151</v>
      </c>
      <c r="AH33" s="98">
        <v>235.7934449422306</v>
      </c>
      <c r="AI33" s="100">
        <v>0.015</v>
      </c>
      <c r="AJ33" s="100">
        <v>0.701599</v>
      </c>
      <c r="AK33" s="100">
        <v>0.625</v>
      </c>
      <c r="AL33" s="100">
        <v>0.813322</v>
      </c>
      <c r="AM33" s="100">
        <v>0.299335</v>
      </c>
      <c r="AN33" s="100">
        <v>0.560484</v>
      </c>
      <c r="AO33" s="98">
        <v>1768.4508370667295</v>
      </c>
      <c r="AP33" s="158">
        <v>0.9382178497</v>
      </c>
      <c r="AQ33" s="100">
        <v>0.09333333333333334</v>
      </c>
      <c r="AR33" s="100">
        <v>0.4666666666666667</v>
      </c>
      <c r="AS33" s="98">
        <v>471.5868898844612</v>
      </c>
      <c r="AT33" s="98">
        <v>353.69016741334593</v>
      </c>
      <c r="AU33" s="98" t="s">
        <v>634</v>
      </c>
      <c r="AV33" s="98">
        <v>330.1108229191228</v>
      </c>
      <c r="AW33" s="98">
        <v>542.3249233671304</v>
      </c>
      <c r="AX33" s="98">
        <v>212.21410044800754</v>
      </c>
      <c r="AY33" s="98">
        <v>825.2770572978071</v>
      </c>
      <c r="AZ33" s="98">
        <v>730.9596793209149</v>
      </c>
      <c r="BA33" s="100" t="s">
        <v>634</v>
      </c>
      <c r="BB33" s="100" t="s">
        <v>634</v>
      </c>
      <c r="BC33" s="100" t="s">
        <v>634</v>
      </c>
      <c r="BD33" s="158">
        <v>0.7379678345</v>
      </c>
      <c r="BE33" s="158">
        <v>1.176064224</v>
      </c>
      <c r="BF33" s="162">
        <v>563</v>
      </c>
      <c r="BG33" s="162">
        <v>16</v>
      </c>
      <c r="BH33" s="162">
        <v>1141</v>
      </c>
      <c r="BI33" s="162">
        <v>451</v>
      </c>
      <c r="BJ33" s="162">
        <v>248</v>
      </c>
      <c r="BK33" s="97"/>
      <c r="BL33" s="97"/>
      <c r="BM33" s="97"/>
      <c r="BN33" s="97"/>
    </row>
    <row r="34" spans="1:66" ht="12.75">
      <c r="A34" s="79" t="s">
        <v>589</v>
      </c>
      <c r="B34" s="79" t="s">
        <v>324</v>
      </c>
      <c r="C34" s="79" t="s">
        <v>259</v>
      </c>
      <c r="D34" s="99">
        <v>6801</v>
      </c>
      <c r="E34" s="99">
        <v>1399</v>
      </c>
      <c r="F34" s="99" t="s">
        <v>387</v>
      </c>
      <c r="G34" s="99">
        <v>36</v>
      </c>
      <c r="H34" s="99">
        <v>16</v>
      </c>
      <c r="I34" s="99">
        <v>160</v>
      </c>
      <c r="J34" s="99">
        <v>621</v>
      </c>
      <c r="K34" s="99">
        <v>186</v>
      </c>
      <c r="L34" s="99">
        <v>1312</v>
      </c>
      <c r="M34" s="99">
        <v>275</v>
      </c>
      <c r="N34" s="99">
        <v>232</v>
      </c>
      <c r="O34" s="99">
        <v>117</v>
      </c>
      <c r="P34" s="159">
        <v>117</v>
      </c>
      <c r="Q34" s="99">
        <v>24</v>
      </c>
      <c r="R34" s="99">
        <v>38</v>
      </c>
      <c r="S34" s="99">
        <v>27</v>
      </c>
      <c r="T34" s="99">
        <v>19</v>
      </c>
      <c r="U34" s="99">
        <v>6</v>
      </c>
      <c r="V34" s="99">
        <v>10</v>
      </c>
      <c r="W34" s="99">
        <v>44</v>
      </c>
      <c r="X34" s="99">
        <v>27</v>
      </c>
      <c r="Y34" s="99">
        <v>81</v>
      </c>
      <c r="Z34" s="99">
        <v>52</v>
      </c>
      <c r="AA34" s="99" t="s">
        <v>634</v>
      </c>
      <c r="AB34" s="99" t="s">
        <v>634</v>
      </c>
      <c r="AC34" s="99" t="s">
        <v>634</v>
      </c>
      <c r="AD34" s="98" t="s">
        <v>364</v>
      </c>
      <c r="AE34" s="100">
        <v>0.20570504337597412</v>
      </c>
      <c r="AF34" s="100">
        <v>0.07</v>
      </c>
      <c r="AG34" s="98">
        <v>529.333921482135</v>
      </c>
      <c r="AH34" s="98">
        <v>235.25952065872667</v>
      </c>
      <c r="AI34" s="100">
        <v>0.024</v>
      </c>
      <c r="AJ34" s="100">
        <v>0.791083</v>
      </c>
      <c r="AK34" s="100">
        <v>0.709924</v>
      </c>
      <c r="AL34" s="100">
        <v>0.788936</v>
      </c>
      <c r="AM34" s="100">
        <v>0.387324</v>
      </c>
      <c r="AN34" s="100">
        <v>0.563107</v>
      </c>
      <c r="AO34" s="98">
        <v>1720.3352448169387</v>
      </c>
      <c r="AP34" s="158">
        <v>0.8321806334999999</v>
      </c>
      <c r="AQ34" s="100">
        <v>0.20512820512820512</v>
      </c>
      <c r="AR34" s="100">
        <v>0.631578947368421</v>
      </c>
      <c r="AS34" s="98">
        <v>397.0004411116012</v>
      </c>
      <c r="AT34" s="98">
        <v>279.3706807822379</v>
      </c>
      <c r="AU34" s="98">
        <v>88.2223202470225</v>
      </c>
      <c r="AV34" s="98">
        <v>147.03720041170416</v>
      </c>
      <c r="AW34" s="98">
        <v>646.9636818114983</v>
      </c>
      <c r="AX34" s="98">
        <v>397.0004411116012</v>
      </c>
      <c r="AY34" s="98">
        <v>1191.0013233348036</v>
      </c>
      <c r="AZ34" s="98">
        <v>764.5934421408616</v>
      </c>
      <c r="BA34" s="100" t="s">
        <v>634</v>
      </c>
      <c r="BB34" s="100" t="s">
        <v>634</v>
      </c>
      <c r="BC34" s="100" t="s">
        <v>634</v>
      </c>
      <c r="BD34" s="158">
        <v>0.688236084</v>
      </c>
      <c r="BE34" s="158">
        <v>0.9973466492</v>
      </c>
      <c r="BF34" s="162">
        <v>785</v>
      </c>
      <c r="BG34" s="162">
        <v>262</v>
      </c>
      <c r="BH34" s="162">
        <v>1663</v>
      </c>
      <c r="BI34" s="162">
        <v>710</v>
      </c>
      <c r="BJ34" s="162">
        <v>412</v>
      </c>
      <c r="BK34" s="97"/>
      <c r="BL34" s="97"/>
      <c r="BM34" s="97"/>
      <c r="BN34" s="97"/>
    </row>
    <row r="35" spans="1:66" ht="12.75">
      <c r="A35" s="79" t="s">
        <v>608</v>
      </c>
      <c r="B35" s="79" t="s">
        <v>343</v>
      </c>
      <c r="C35" s="79" t="s">
        <v>259</v>
      </c>
      <c r="D35" s="99">
        <v>4260</v>
      </c>
      <c r="E35" s="99">
        <v>507</v>
      </c>
      <c r="F35" s="99" t="s">
        <v>387</v>
      </c>
      <c r="G35" s="99">
        <v>18</v>
      </c>
      <c r="H35" s="99">
        <v>9</v>
      </c>
      <c r="I35" s="99">
        <v>55</v>
      </c>
      <c r="J35" s="99">
        <v>311</v>
      </c>
      <c r="K35" s="99" t="s">
        <v>634</v>
      </c>
      <c r="L35" s="99">
        <v>828</v>
      </c>
      <c r="M35" s="99">
        <v>119</v>
      </c>
      <c r="N35" s="99">
        <v>126</v>
      </c>
      <c r="O35" s="99">
        <v>73</v>
      </c>
      <c r="P35" s="159">
        <v>73</v>
      </c>
      <c r="Q35" s="99">
        <v>11</v>
      </c>
      <c r="R35" s="99">
        <v>14</v>
      </c>
      <c r="S35" s="99">
        <v>22</v>
      </c>
      <c r="T35" s="99">
        <v>10</v>
      </c>
      <c r="U35" s="99">
        <v>8</v>
      </c>
      <c r="V35" s="99">
        <v>10</v>
      </c>
      <c r="W35" s="99">
        <v>38</v>
      </c>
      <c r="X35" s="99" t="s">
        <v>634</v>
      </c>
      <c r="Y35" s="99">
        <v>26</v>
      </c>
      <c r="Z35" s="99">
        <v>16</v>
      </c>
      <c r="AA35" s="99" t="s">
        <v>634</v>
      </c>
      <c r="AB35" s="99" t="s">
        <v>634</v>
      </c>
      <c r="AC35" s="99" t="s">
        <v>634</v>
      </c>
      <c r="AD35" s="98" t="s">
        <v>364</v>
      </c>
      <c r="AE35" s="100">
        <v>0.11901408450704225</v>
      </c>
      <c r="AF35" s="100">
        <v>0.06</v>
      </c>
      <c r="AG35" s="98">
        <v>422.53521126760563</v>
      </c>
      <c r="AH35" s="98">
        <v>211.26760563380282</v>
      </c>
      <c r="AI35" s="100">
        <v>0.013000000000000001</v>
      </c>
      <c r="AJ35" s="100">
        <v>0.64657</v>
      </c>
      <c r="AK35" s="100" t="s">
        <v>634</v>
      </c>
      <c r="AL35" s="100">
        <v>0.788571</v>
      </c>
      <c r="AM35" s="100">
        <v>0.295285</v>
      </c>
      <c r="AN35" s="100">
        <v>0.538462</v>
      </c>
      <c r="AO35" s="98">
        <v>1713.6150234741783</v>
      </c>
      <c r="AP35" s="158">
        <v>1.005310593</v>
      </c>
      <c r="AQ35" s="100">
        <v>0.1506849315068493</v>
      </c>
      <c r="AR35" s="100">
        <v>0.7857142857142857</v>
      </c>
      <c r="AS35" s="98">
        <v>516.4319248826291</v>
      </c>
      <c r="AT35" s="98">
        <v>234.7417840375587</v>
      </c>
      <c r="AU35" s="98">
        <v>187.79342723004694</v>
      </c>
      <c r="AV35" s="98">
        <v>234.7417840375587</v>
      </c>
      <c r="AW35" s="98">
        <v>892.018779342723</v>
      </c>
      <c r="AX35" s="98" t="s">
        <v>634</v>
      </c>
      <c r="AY35" s="98">
        <v>610.3286384976526</v>
      </c>
      <c r="AZ35" s="98">
        <v>375.5868544600939</v>
      </c>
      <c r="BA35" s="100" t="s">
        <v>634</v>
      </c>
      <c r="BB35" s="100" t="s">
        <v>634</v>
      </c>
      <c r="BC35" s="100" t="s">
        <v>634</v>
      </c>
      <c r="BD35" s="158">
        <v>0.7880030822999999</v>
      </c>
      <c r="BE35" s="158">
        <v>1.264027176</v>
      </c>
      <c r="BF35" s="162">
        <v>481</v>
      </c>
      <c r="BG35" s="162" t="s">
        <v>634</v>
      </c>
      <c r="BH35" s="162">
        <v>1050</v>
      </c>
      <c r="BI35" s="162">
        <v>403</v>
      </c>
      <c r="BJ35" s="162">
        <v>234</v>
      </c>
      <c r="BK35" s="97"/>
      <c r="BL35" s="97"/>
      <c r="BM35" s="97"/>
      <c r="BN35" s="97"/>
    </row>
    <row r="36" spans="1:66" ht="12.75">
      <c r="A36" s="79" t="s">
        <v>600</v>
      </c>
      <c r="B36" s="79" t="s">
        <v>335</v>
      </c>
      <c r="C36" s="79" t="s">
        <v>259</v>
      </c>
      <c r="D36" s="99">
        <v>10119</v>
      </c>
      <c r="E36" s="99">
        <v>1332</v>
      </c>
      <c r="F36" s="99" t="s">
        <v>385</v>
      </c>
      <c r="G36" s="99">
        <v>43</v>
      </c>
      <c r="H36" s="99">
        <v>27</v>
      </c>
      <c r="I36" s="99">
        <v>129</v>
      </c>
      <c r="J36" s="99">
        <v>892</v>
      </c>
      <c r="K36" s="99">
        <v>888</v>
      </c>
      <c r="L36" s="99">
        <v>2046</v>
      </c>
      <c r="M36" s="99">
        <v>402</v>
      </c>
      <c r="N36" s="99">
        <v>355</v>
      </c>
      <c r="O36" s="99">
        <v>173</v>
      </c>
      <c r="P36" s="159">
        <v>173</v>
      </c>
      <c r="Q36" s="99">
        <v>27</v>
      </c>
      <c r="R36" s="99">
        <v>43</v>
      </c>
      <c r="S36" s="99">
        <v>50</v>
      </c>
      <c r="T36" s="99">
        <v>34</v>
      </c>
      <c r="U36" s="99">
        <v>8</v>
      </c>
      <c r="V36" s="99">
        <v>30</v>
      </c>
      <c r="W36" s="99">
        <v>68</v>
      </c>
      <c r="X36" s="99">
        <v>44</v>
      </c>
      <c r="Y36" s="99">
        <v>101</v>
      </c>
      <c r="Z36" s="99">
        <v>58</v>
      </c>
      <c r="AA36" s="99" t="s">
        <v>634</v>
      </c>
      <c r="AB36" s="99" t="s">
        <v>634</v>
      </c>
      <c r="AC36" s="99" t="s">
        <v>634</v>
      </c>
      <c r="AD36" s="98" t="s">
        <v>364</v>
      </c>
      <c r="AE36" s="100">
        <v>0.1316335606285206</v>
      </c>
      <c r="AF36" s="100">
        <v>0.09</v>
      </c>
      <c r="AG36" s="98">
        <v>424.94317620318213</v>
      </c>
      <c r="AH36" s="98">
        <v>266.82478505781205</v>
      </c>
      <c r="AI36" s="100">
        <v>0.013000000000000001</v>
      </c>
      <c r="AJ36" s="100">
        <v>0.720517</v>
      </c>
      <c r="AK36" s="100">
        <v>0.763543</v>
      </c>
      <c r="AL36" s="100">
        <v>0.791796</v>
      </c>
      <c r="AM36" s="100">
        <v>0.389913</v>
      </c>
      <c r="AN36" s="100">
        <v>0.588723</v>
      </c>
      <c r="AO36" s="98">
        <v>1709.6551042593142</v>
      </c>
      <c r="AP36" s="158">
        <v>0.9828627777</v>
      </c>
      <c r="AQ36" s="100">
        <v>0.15606936416184972</v>
      </c>
      <c r="AR36" s="100">
        <v>0.627906976744186</v>
      </c>
      <c r="AS36" s="98">
        <v>494.11997232928155</v>
      </c>
      <c r="AT36" s="98">
        <v>336.00158118391147</v>
      </c>
      <c r="AU36" s="98">
        <v>79.05919557268504</v>
      </c>
      <c r="AV36" s="98">
        <v>296.4719833975689</v>
      </c>
      <c r="AW36" s="98">
        <v>672.0031623678229</v>
      </c>
      <c r="AX36" s="98">
        <v>434.82557564976776</v>
      </c>
      <c r="AY36" s="98">
        <v>998.1223441051487</v>
      </c>
      <c r="AZ36" s="98">
        <v>573.1791679019666</v>
      </c>
      <c r="BA36" s="100" t="s">
        <v>634</v>
      </c>
      <c r="BB36" s="100" t="s">
        <v>634</v>
      </c>
      <c r="BC36" s="100" t="s">
        <v>634</v>
      </c>
      <c r="BD36" s="158">
        <v>0.8418561554</v>
      </c>
      <c r="BE36" s="158">
        <v>1.140731201</v>
      </c>
      <c r="BF36" s="162">
        <v>1238</v>
      </c>
      <c r="BG36" s="162">
        <v>1163</v>
      </c>
      <c r="BH36" s="162">
        <v>2584</v>
      </c>
      <c r="BI36" s="162">
        <v>1031</v>
      </c>
      <c r="BJ36" s="162">
        <v>603</v>
      </c>
      <c r="BK36" s="97"/>
      <c r="BL36" s="97"/>
      <c r="BM36" s="97"/>
      <c r="BN36" s="97"/>
    </row>
    <row r="37" spans="1:66" ht="12.75">
      <c r="A37" s="79" t="s">
        <v>592</v>
      </c>
      <c r="B37" s="79" t="s">
        <v>327</v>
      </c>
      <c r="C37" s="79" t="s">
        <v>259</v>
      </c>
      <c r="D37" s="99">
        <v>7924</v>
      </c>
      <c r="E37" s="99">
        <v>924</v>
      </c>
      <c r="F37" s="99" t="s">
        <v>386</v>
      </c>
      <c r="G37" s="99">
        <v>33</v>
      </c>
      <c r="H37" s="99">
        <v>13</v>
      </c>
      <c r="I37" s="99">
        <v>129</v>
      </c>
      <c r="J37" s="99">
        <v>458</v>
      </c>
      <c r="K37" s="99">
        <v>453</v>
      </c>
      <c r="L37" s="99">
        <v>1375</v>
      </c>
      <c r="M37" s="99">
        <v>167</v>
      </c>
      <c r="N37" s="99">
        <v>180</v>
      </c>
      <c r="O37" s="99">
        <v>114</v>
      </c>
      <c r="P37" s="159">
        <v>114</v>
      </c>
      <c r="Q37" s="99">
        <v>17</v>
      </c>
      <c r="R37" s="99">
        <v>27</v>
      </c>
      <c r="S37" s="99">
        <v>34</v>
      </c>
      <c r="T37" s="99">
        <v>18</v>
      </c>
      <c r="U37" s="99" t="s">
        <v>634</v>
      </c>
      <c r="V37" s="99">
        <v>17</v>
      </c>
      <c r="W37" s="99">
        <v>44</v>
      </c>
      <c r="X37" s="99">
        <v>12</v>
      </c>
      <c r="Y37" s="99">
        <v>60</v>
      </c>
      <c r="Z37" s="99">
        <v>40</v>
      </c>
      <c r="AA37" s="99" t="s">
        <v>634</v>
      </c>
      <c r="AB37" s="99" t="s">
        <v>634</v>
      </c>
      <c r="AC37" s="99" t="s">
        <v>634</v>
      </c>
      <c r="AD37" s="98" t="s">
        <v>364</v>
      </c>
      <c r="AE37" s="100">
        <v>0.1166077738515901</v>
      </c>
      <c r="AF37" s="100">
        <v>0.14</v>
      </c>
      <c r="AG37" s="98">
        <v>416.4563351842504</v>
      </c>
      <c r="AH37" s="98">
        <v>164.0585562847047</v>
      </c>
      <c r="AI37" s="100">
        <v>0.016</v>
      </c>
      <c r="AJ37" s="100">
        <v>0.691843</v>
      </c>
      <c r="AK37" s="100">
        <v>0.701238</v>
      </c>
      <c r="AL37" s="100">
        <v>0.719142</v>
      </c>
      <c r="AM37" s="100">
        <v>0.291958</v>
      </c>
      <c r="AN37" s="100">
        <v>0.512821</v>
      </c>
      <c r="AO37" s="98">
        <v>1438.6673397274103</v>
      </c>
      <c r="AP37" s="158">
        <v>0.9355056763</v>
      </c>
      <c r="AQ37" s="100">
        <v>0.14912280701754385</v>
      </c>
      <c r="AR37" s="100">
        <v>0.6296296296296297</v>
      </c>
      <c r="AS37" s="98">
        <v>429.0762241292277</v>
      </c>
      <c r="AT37" s="98">
        <v>227.15800100959112</v>
      </c>
      <c r="AU37" s="98" t="s">
        <v>634</v>
      </c>
      <c r="AV37" s="98">
        <v>214.53811206461384</v>
      </c>
      <c r="AW37" s="98">
        <v>555.2751135790005</v>
      </c>
      <c r="AX37" s="98">
        <v>151.4386673397274</v>
      </c>
      <c r="AY37" s="98">
        <v>757.193336698637</v>
      </c>
      <c r="AZ37" s="98">
        <v>504.79555779909134</v>
      </c>
      <c r="BA37" s="100" t="s">
        <v>634</v>
      </c>
      <c r="BB37" s="100" t="s">
        <v>634</v>
      </c>
      <c r="BC37" s="100" t="s">
        <v>634</v>
      </c>
      <c r="BD37" s="158">
        <v>0.7716768646</v>
      </c>
      <c r="BE37" s="158">
        <v>1.123828125</v>
      </c>
      <c r="BF37" s="162">
        <v>662</v>
      </c>
      <c r="BG37" s="162">
        <v>646</v>
      </c>
      <c r="BH37" s="162">
        <v>1912</v>
      </c>
      <c r="BI37" s="162">
        <v>572</v>
      </c>
      <c r="BJ37" s="162">
        <v>351</v>
      </c>
      <c r="BK37" s="97"/>
      <c r="BL37" s="97"/>
      <c r="BM37" s="97"/>
      <c r="BN37" s="97"/>
    </row>
    <row r="38" spans="1:66" ht="12.75">
      <c r="A38" s="79" t="s">
        <v>584</v>
      </c>
      <c r="B38" s="79" t="s">
        <v>319</v>
      </c>
      <c r="C38" s="79" t="s">
        <v>259</v>
      </c>
      <c r="D38" s="99">
        <v>16647</v>
      </c>
      <c r="E38" s="99">
        <v>3012</v>
      </c>
      <c r="F38" s="99" t="s">
        <v>385</v>
      </c>
      <c r="G38" s="99">
        <v>62</v>
      </c>
      <c r="H38" s="99">
        <v>41</v>
      </c>
      <c r="I38" s="99">
        <v>287</v>
      </c>
      <c r="J38" s="99">
        <v>1478</v>
      </c>
      <c r="K38" s="99">
        <v>1465</v>
      </c>
      <c r="L38" s="99">
        <v>2986</v>
      </c>
      <c r="M38" s="99">
        <v>663</v>
      </c>
      <c r="N38" s="99">
        <v>582</v>
      </c>
      <c r="O38" s="99">
        <v>259</v>
      </c>
      <c r="P38" s="159">
        <v>259</v>
      </c>
      <c r="Q38" s="99">
        <v>41</v>
      </c>
      <c r="R38" s="99">
        <v>79</v>
      </c>
      <c r="S38" s="99">
        <v>59</v>
      </c>
      <c r="T38" s="99">
        <v>57</v>
      </c>
      <c r="U38" s="99">
        <v>15</v>
      </c>
      <c r="V38" s="99">
        <v>32</v>
      </c>
      <c r="W38" s="99">
        <v>101</v>
      </c>
      <c r="X38" s="99">
        <v>98</v>
      </c>
      <c r="Y38" s="99">
        <v>183</v>
      </c>
      <c r="Z38" s="99">
        <v>89</v>
      </c>
      <c r="AA38" s="99" t="s">
        <v>634</v>
      </c>
      <c r="AB38" s="99" t="s">
        <v>634</v>
      </c>
      <c r="AC38" s="99" t="s">
        <v>634</v>
      </c>
      <c r="AD38" s="98" t="s">
        <v>364</v>
      </c>
      <c r="AE38" s="100">
        <v>0.18093350153180754</v>
      </c>
      <c r="AF38" s="100">
        <v>0.11</v>
      </c>
      <c r="AG38" s="98">
        <v>372.43947858472995</v>
      </c>
      <c r="AH38" s="98">
        <v>246.29062293506337</v>
      </c>
      <c r="AI38" s="100">
        <v>0.017</v>
      </c>
      <c r="AJ38" s="100">
        <v>0.740481</v>
      </c>
      <c r="AK38" s="100">
        <v>0.80984</v>
      </c>
      <c r="AL38" s="100">
        <v>0.757484</v>
      </c>
      <c r="AM38" s="100">
        <v>0.349131</v>
      </c>
      <c r="AN38" s="100">
        <v>0.526697</v>
      </c>
      <c r="AO38" s="98">
        <v>1555.8358863458882</v>
      </c>
      <c r="AP38" s="158">
        <v>0.807070694</v>
      </c>
      <c r="AQ38" s="100">
        <v>0.1583011583011583</v>
      </c>
      <c r="AR38" s="100">
        <v>0.5189873417721519</v>
      </c>
      <c r="AS38" s="98">
        <v>354.4182134919205</v>
      </c>
      <c r="AT38" s="98">
        <v>342.4040367633808</v>
      </c>
      <c r="AU38" s="98">
        <v>90.10632546404757</v>
      </c>
      <c r="AV38" s="98">
        <v>192.22682765663484</v>
      </c>
      <c r="AW38" s="98">
        <v>606.7159247912537</v>
      </c>
      <c r="AX38" s="98">
        <v>588.6946596984442</v>
      </c>
      <c r="AY38" s="98">
        <v>1099.2971706613805</v>
      </c>
      <c r="AZ38" s="98">
        <v>534.6308644200157</v>
      </c>
      <c r="BA38" s="100" t="s">
        <v>634</v>
      </c>
      <c r="BB38" s="100" t="s">
        <v>634</v>
      </c>
      <c r="BC38" s="100" t="s">
        <v>634</v>
      </c>
      <c r="BD38" s="158">
        <v>0.7117644501</v>
      </c>
      <c r="BE38" s="158">
        <v>0.9115838623000001</v>
      </c>
      <c r="BF38" s="162">
        <v>1996</v>
      </c>
      <c r="BG38" s="162">
        <v>1809</v>
      </c>
      <c r="BH38" s="162">
        <v>3942</v>
      </c>
      <c r="BI38" s="162">
        <v>1899</v>
      </c>
      <c r="BJ38" s="162">
        <v>1105</v>
      </c>
      <c r="BK38" s="97"/>
      <c r="BL38" s="97"/>
      <c r="BM38" s="97"/>
      <c r="BN38" s="97"/>
    </row>
    <row r="39" spans="1:66" ht="12.75">
      <c r="A39" s="79" t="s">
        <v>550</v>
      </c>
      <c r="B39" s="79" t="s">
        <v>284</v>
      </c>
      <c r="C39" s="79" t="s">
        <v>259</v>
      </c>
      <c r="D39" s="99">
        <v>5806</v>
      </c>
      <c r="E39" s="99">
        <v>1044</v>
      </c>
      <c r="F39" s="99" t="s">
        <v>387</v>
      </c>
      <c r="G39" s="99">
        <v>27</v>
      </c>
      <c r="H39" s="99">
        <v>20</v>
      </c>
      <c r="I39" s="99">
        <v>140</v>
      </c>
      <c r="J39" s="99">
        <v>674</v>
      </c>
      <c r="K39" s="99">
        <v>637</v>
      </c>
      <c r="L39" s="99">
        <v>1292</v>
      </c>
      <c r="M39" s="99">
        <v>282</v>
      </c>
      <c r="N39" s="99">
        <v>242</v>
      </c>
      <c r="O39" s="99">
        <v>129</v>
      </c>
      <c r="P39" s="159">
        <v>129</v>
      </c>
      <c r="Q39" s="99">
        <v>17</v>
      </c>
      <c r="R39" s="99">
        <v>30</v>
      </c>
      <c r="S39" s="99">
        <v>36</v>
      </c>
      <c r="T39" s="99">
        <v>17</v>
      </c>
      <c r="U39" s="99">
        <v>7</v>
      </c>
      <c r="V39" s="99">
        <v>26</v>
      </c>
      <c r="W39" s="99">
        <v>33</v>
      </c>
      <c r="X39" s="99">
        <v>16</v>
      </c>
      <c r="Y39" s="99">
        <v>56</v>
      </c>
      <c r="Z39" s="99">
        <v>63</v>
      </c>
      <c r="AA39" s="99" t="s">
        <v>634</v>
      </c>
      <c r="AB39" s="99" t="s">
        <v>634</v>
      </c>
      <c r="AC39" s="99" t="s">
        <v>634</v>
      </c>
      <c r="AD39" s="98" t="s">
        <v>364</v>
      </c>
      <c r="AE39" s="100">
        <v>0.17981398553220806</v>
      </c>
      <c r="AF39" s="100">
        <v>0.04</v>
      </c>
      <c r="AG39" s="98">
        <v>465.0361694798484</v>
      </c>
      <c r="AH39" s="98">
        <v>344.47123665173956</v>
      </c>
      <c r="AI39" s="100">
        <v>0.024</v>
      </c>
      <c r="AJ39" s="100">
        <v>0.779191</v>
      </c>
      <c r="AK39" s="100">
        <v>0.771186</v>
      </c>
      <c r="AL39" s="100">
        <v>0.852805</v>
      </c>
      <c r="AM39" s="100">
        <v>0.379032</v>
      </c>
      <c r="AN39" s="100">
        <v>0.57346</v>
      </c>
      <c r="AO39" s="98">
        <v>2221.8394764037203</v>
      </c>
      <c r="AP39" s="158">
        <v>1.077750244</v>
      </c>
      <c r="AQ39" s="100">
        <v>0.13178294573643412</v>
      </c>
      <c r="AR39" s="100">
        <v>0.5666666666666667</v>
      </c>
      <c r="AS39" s="98">
        <v>620.0482259731313</v>
      </c>
      <c r="AT39" s="98">
        <v>292.80055115397863</v>
      </c>
      <c r="AU39" s="98">
        <v>120.56493282810885</v>
      </c>
      <c r="AV39" s="98">
        <v>447.8126076472615</v>
      </c>
      <c r="AW39" s="98">
        <v>568.3775404753703</v>
      </c>
      <c r="AX39" s="98">
        <v>275.57698932139164</v>
      </c>
      <c r="AY39" s="98">
        <v>964.5194626248708</v>
      </c>
      <c r="AZ39" s="98">
        <v>1085.0843954529796</v>
      </c>
      <c r="BA39" s="100" t="s">
        <v>634</v>
      </c>
      <c r="BB39" s="100" t="s">
        <v>634</v>
      </c>
      <c r="BC39" s="100" t="s">
        <v>634</v>
      </c>
      <c r="BD39" s="158">
        <v>0.899803009</v>
      </c>
      <c r="BE39" s="158">
        <v>1.280589447</v>
      </c>
      <c r="BF39" s="162">
        <v>865</v>
      </c>
      <c r="BG39" s="162">
        <v>826</v>
      </c>
      <c r="BH39" s="162">
        <v>1515</v>
      </c>
      <c r="BI39" s="162">
        <v>744</v>
      </c>
      <c r="BJ39" s="162">
        <v>422</v>
      </c>
      <c r="BK39" s="97"/>
      <c r="BL39" s="97"/>
      <c r="BM39" s="97"/>
      <c r="BN39" s="97"/>
    </row>
    <row r="40" spans="1:66" ht="12.75">
      <c r="A40" s="79" t="s">
        <v>612</v>
      </c>
      <c r="B40" s="79" t="s">
        <v>347</v>
      </c>
      <c r="C40" s="79" t="s">
        <v>259</v>
      </c>
      <c r="D40" s="99">
        <v>5601</v>
      </c>
      <c r="E40" s="99">
        <v>328</v>
      </c>
      <c r="F40" s="99" t="s">
        <v>387</v>
      </c>
      <c r="G40" s="99">
        <v>9</v>
      </c>
      <c r="H40" s="99">
        <v>7</v>
      </c>
      <c r="I40" s="99">
        <v>49</v>
      </c>
      <c r="J40" s="99">
        <v>217</v>
      </c>
      <c r="K40" s="99" t="s">
        <v>634</v>
      </c>
      <c r="L40" s="99">
        <v>549</v>
      </c>
      <c r="M40" s="99">
        <v>89</v>
      </c>
      <c r="N40" s="99">
        <v>93</v>
      </c>
      <c r="O40" s="99">
        <v>52</v>
      </c>
      <c r="P40" s="159">
        <v>52</v>
      </c>
      <c r="Q40" s="99" t="s">
        <v>634</v>
      </c>
      <c r="R40" s="99">
        <v>6</v>
      </c>
      <c r="S40" s="99">
        <v>10</v>
      </c>
      <c r="T40" s="99">
        <v>8</v>
      </c>
      <c r="U40" s="99" t="s">
        <v>634</v>
      </c>
      <c r="V40" s="99">
        <v>17</v>
      </c>
      <c r="W40" s="99">
        <v>19</v>
      </c>
      <c r="X40" s="99" t="s">
        <v>634</v>
      </c>
      <c r="Y40" s="99">
        <v>14</v>
      </c>
      <c r="Z40" s="99">
        <v>21</v>
      </c>
      <c r="AA40" s="99" t="s">
        <v>634</v>
      </c>
      <c r="AB40" s="99" t="s">
        <v>634</v>
      </c>
      <c r="AC40" s="99" t="s">
        <v>634</v>
      </c>
      <c r="AD40" s="98" t="s">
        <v>364</v>
      </c>
      <c r="AE40" s="100">
        <v>0.058560971255133015</v>
      </c>
      <c r="AF40" s="100">
        <v>0.06</v>
      </c>
      <c r="AG40" s="98">
        <v>160.68559185859667</v>
      </c>
      <c r="AH40" s="98">
        <v>124.9776825566863</v>
      </c>
      <c r="AI40" s="100">
        <v>0.009000000000000001</v>
      </c>
      <c r="AJ40" s="100">
        <v>0.70684</v>
      </c>
      <c r="AK40" s="100" t="s">
        <v>634</v>
      </c>
      <c r="AL40" s="100">
        <v>0.559633</v>
      </c>
      <c r="AM40" s="100">
        <v>0.32963</v>
      </c>
      <c r="AN40" s="100">
        <v>0.560241</v>
      </c>
      <c r="AO40" s="98">
        <v>928.4056418496697</v>
      </c>
      <c r="AP40" s="158">
        <v>0.9117127227999999</v>
      </c>
      <c r="AQ40" s="100" t="s">
        <v>634</v>
      </c>
      <c r="AR40" s="100" t="s">
        <v>634</v>
      </c>
      <c r="AS40" s="98">
        <v>178.53954650955185</v>
      </c>
      <c r="AT40" s="98">
        <v>142.8316372076415</v>
      </c>
      <c r="AU40" s="98" t="s">
        <v>634</v>
      </c>
      <c r="AV40" s="98">
        <v>303.51722906623814</v>
      </c>
      <c r="AW40" s="98">
        <v>339.2251383681485</v>
      </c>
      <c r="AX40" s="98" t="s">
        <v>634</v>
      </c>
      <c r="AY40" s="98">
        <v>249.9553651133726</v>
      </c>
      <c r="AZ40" s="98">
        <v>374.9330476700589</v>
      </c>
      <c r="BA40" s="100" t="s">
        <v>634</v>
      </c>
      <c r="BB40" s="100" t="s">
        <v>634</v>
      </c>
      <c r="BC40" s="100" t="s">
        <v>634</v>
      </c>
      <c r="BD40" s="158">
        <v>0.6809107208</v>
      </c>
      <c r="BE40" s="158">
        <v>1.195589981</v>
      </c>
      <c r="BF40" s="162">
        <v>307</v>
      </c>
      <c r="BG40" s="162" t="s">
        <v>634</v>
      </c>
      <c r="BH40" s="162">
        <v>981</v>
      </c>
      <c r="BI40" s="162">
        <v>270</v>
      </c>
      <c r="BJ40" s="162">
        <v>166</v>
      </c>
      <c r="BK40" s="97"/>
      <c r="BL40" s="97"/>
      <c r="BM40" s="97"/>
      <c r="BN40" s="97"/>
    </row>
    <row r="41" spans="1:66" ht="12.75">
      <c r="A41" s="79" t="s">
        <v>619</v>
      </c>
      <c r="B41" s="79" t="s">
        <v>355</v>
      </c>
      <c r="C41" s="79" t="s">
        <v>259</v>
      </c>
      <c r="D41" s="99">
        <v>2157</v>
      </c>
      <c r="E41" s="99">
        <v>317</v>
      </c>
      <c r="F41" s="99" t="s">
        <v>387</v>
      </c>
      <c r="G41" s="99">
        <v>11</v>
      </c>
      <c r="H41" s="99" t="s">
        <v>634</v>
      </c>
      <c r="I41" s="99">
        <v>36</v>
      </c>
      <c r="J41" s="99">
        <v>172</v>
      </c>
      <c r="K41" s="99" t="s">
        <v>634</v>
      </c>
      <c r="L41" s="99">
        <v>468</v>
      </c>
      <c r="M41" s="99">
        <v>59</v>
      </c>
      <c r="N41" s="99">
        <v>61</v>
      </c>
      <c r="O41" s="99" t="s">
        <v>634</v>
      </c>
      <c r="P41" s="159" t="s">
        <v>634</v>
      </c>
      <c r="Q41" s="99" t="s">
        <v>634</v>
      </c>
      <c r="R41" s="99" t="s">
        <v>634</v>
      </c>
      <c r="S41" s="99" t="s">
        <v>634</v>
      </c>
      <c r="T41" s="99" t="s">
        <v>634</v>
      </c>
      <c r="U41" s="99" t="s">
        <v>634</v>
      </c>
      <c r="V41" s="99" t="s">
        <v>634</v>
      </c>
      <c r="W41" s="99">
        <v>8</v>
      </c>
      <c r="X41" s="99" t="s">
        <v>634</v>
      </c>
      <c r="Y41" s="99">
        <v>13</v>
      </c>
      <c r="Z41" s="99">
        <v>8</v>
      </c>
      <c r="AA41" s="99" t="s">
        <v>634</v>
      </c>
      <c r="AB41" s="99" t="s">
        <v>634</v>
      </c>
      <c r="AC41" s="99" t="s">
        <v>634</v>
      </c>
      <c r="AD41" s="98" t="s">
        <v>364</v>
      </c>
      <c r="AE41" s="100">
        <v>0.14696337505795085</v>
      </c>
      <c r="AF41" s="100">
        <v>0.07</v>
      </c>
      <c r="AG41" s="98">
        <v>509.9675475197033</v>
      </c>
      <c r="AH41" s="98" t="s">
        <v>634</v>
      </c>
      <c r="AI41" s="100">
        <v>0.017</v>
      </c>
      <c r="AJ41" s="100">
        <v>0.669261</v>
      </c>
      <c r="AK41" s="100" t="s">
        <v>634</v>
      </c>
      <c r="AL41" s="100">
        <v>0.72</v>
      </c>
      <c r="AM41" s="100">
        <v>0.312169</v>
      </c>
      <c r="AN41" s="100">
        <v>0.516949</v>
      </c>
      <c r="AO41" s="98" t="s">
        <v>634</v>
      </c>
      <c r="AP41" s="158" t="s">
        <v>634</v>
      </c>
      <c r="AQ41" s="100" t="s">
        <v>634</v>
      </c>
      <c r="AR41" s="100" t="s">
        <v>634</v>
      </c>
      <c r="AS41" s="98" t="s">
        <v>634</v>
      </c>
      <c r="AT41" s="98" t="s">
        <v>634</v>
      </c>
      <c r="AU41" s="98" t="s">
        <v>634</v>
      </c>
      <c r="AV41" s="98" t="s">
        <v>634</v>
      </c>
      <c r="AW41" s="98">
        <v>370.8854891052388</v>
      </c>
      <c r="AX41" s="98" t="s">
        <v>634</v>
      </c>
      <c r="AY41" s="98">
        <v>602.688919796013</v>
      </c>
      <c r="AZ41" s="98">
        <v>370.8854891052388</v>
      </c>
      <c r="BA41" s="100" t="s">
        <v>634</v>
      </c>
      <c r="BB41" s="100" t="s">
        <v>634</v>
      </c>
      <c r="BC41" s="100" t="s">
        <v>634</v>
      </c>
      <c r="BD41" s="158" t="s">
        <v>634</v>
      </c>
      <c r="BE41" s="158" t="s">
        <v>634</v>
      </c>
      <c r="BF41" s="162">
        <v>257</v>
      </c>
      <c r="BG41" s="162" t="s">
        <v>634</v>
      </c>
      <c r="BH41" s="162">
        <v>650</v>
      </c>
      <c r="BI41" s="162">
        <v>189</v>
      </c>
      <c r="BJ41" s="162">
        <v>118</v>
      </c>
      <c r="BK41" s="97"/>
      <c r="BL41" s="97"/>
      <c r="BM41" s="97"/>
      <c r="BN41" s="97"/>
    </row>
    <row r="42" spans="1:66" ht="12.75">
      <c r="A42" s="79" t="s">
        <v>570</v>
      </c>
      <c r="B42" s="79" t="s">
        <v>305</v>
      </c>
      <c r="C42" s="79" t="s">
        <v>259</v>
      </c>
      <c r="D42" s="99">
        <v>6030</v>
      </c>
      <c r="E42" s="99">
        <v>551</v>
      </c>
      <c r="F42" s="99" t="s">
        <v>387</v>
      </c>
      <c r="G42" s="99">
        <v>24</v>
      </c>
      <c r="H42" s="99">
        <v>8</v>
      </c>
      <c r="I42" s="99">
        <v>73</v>
      </c>
      <c r="J42" s="99">
        <v>349</v>
      </c>
      <c r="K42" s="99">
        <v>6</v>
      </c>
      <c r="L42" s="99">
        <v>1076</v>
      </c>
      <c r="M42" s="99">
        <v>112</v>
      </c>
      <c r="N42" s="99">
        <v>119</v>
      </c>
      <c r="O42" s="99">
        <v>78</v>
      </c>
      <c r="P42" s="159">
        <v>78</v>
      </c>
      <c r="Q42" s="99">
        <v>7</v>
      </c>
      <c r="R42" s="99">
        <v>15</v>
      </c>
      <c r="S42" s="99">
        <v>21</v>
      </c>
      <c r="T42" s="99">
        <v>13</v>
      </c>
      <c r="U42" s="99" t="s">
        <v>634</v>
      </c>
      <c r="V42" s="99">
        <v>18</v>
      </c>
      <c r="W42" s="99">
        <v>27</v>
      </c>
      <c r="X42" s="99">
        <v>8</v>
      </c>
      <c r="Y42" s="99">
        <v>50</v>
      </c>
      <c r="Z42" s="99">
        <v>18</v>
      </c>
      <c r="AA42" s="99" t="s">
        <v>634</v>
      </c>
      <c r="AB42" s="99" t="s">
        <v>634</v>
      </c>
      <c r="AC42" s="99" t="s">
        <v>634</v>
      </c>
      <c r="AD42" s="98" t="s">
        <v>364</v>
      </c>
      <c r="AE42" s="100">
        <v>0.09137645107794362</v>
      </c>
      <c r="AF42" s="100">
        <v>0.07</v>
      </c>
      <c r="AG42" s="98">
        <v>398.00995024875624</v>
      </c>
      <c r="AH42" s="98">
        <v>132.66998341625208</v>
      </c>
      <c r="AI42" s="100">
        <v>0.012</v>
      </c>
      <c r="AJ42" s="100">
        <v>0.668582</v>
      </c>
      <c r="AK42" s="100">
        <v>0.375</v>
      </c>
      <c r="AL42" s="100">
        <v>0.661747</v>
      </c>
      <c r="AM42" s="100">
        <v>0.264775</v>
      </c>
      <c r="AN42" s="100">
        <v>0.447368</v>
      </c>
      <c r="AO42" s="98">
        <v>1293.5323383084576</v>
      </c>
      <c r="AP42" s="158">
        <v>0.8844302368</v>
      </c>
      <c r="AQ42" s="100">
        <v>0.08974358974358974</v>
      </c>
      <c r="AR42" s="100">
        <v>0.4666666666666667</v>
      </c>
      <c r="AS42" s="98">
        <v>348.2587064676617</v>
      </c>
      <c r="AT42" s="98">
        <v>215.58872305140963</v>
      </c>
      <c r="AU42" s="98" t="s">
        <v>634</v>
      </c>
      <c r="AV42" s="98">
        <v>298.5074626865672</v>
      </c>
      <c r="AW42" s="98">
        <v>447.76119402985074</v>
      </c>
      <c r="AX42" s="98">
        <v>132.66998341625208</v>
      </c>
      <c r="AY42" s="98">
        <v>829.1873963515754</v>
      </c>
      <c r="AZ42" s="98">
        <v>298.5074626865672</v>
      </c>
      <c r="BA42" s="100" t="s">
        <v>634</v>
      </c>
      <c r="BB42" s="100" t="s">
        <v>634</v>
      </c>
      <c r="BC42" s="100" t="s">
        <v>634</v>
      </c>
      <c r="BD42" s="158">
        <v>0.6991053772</v>
      </c>
      <c r="BE42" s="158">
        <v>1.103808975</v>
      </c>
      <c r="BF42" s="162">
        <v>522</v>
      </c>
      <c r="BG42" s="162">
        <v>16</v>
      </c>
      <c r="BH42" s="162">
        <v>1626</v>
      </c>
      <c r="BI42" s="162">
        <v>423</v>
      </c>
      <c r="BJ42" s="162">
        <v>266</v>
      </c>
      <c r="BK42" s="97"/>
      <c r="BL42" s="97"/>
      <c r="BM42" s="97"/>
      <c r="BN42" s="97"/>
    </row>
    <row r="43" spans="1:66" ht="12.75">
      <c r="A43" s="79" t="s">
        <v>625</v>
      </c>
      <c r="B43" s="79" t="s">
        <v>361</v>
      </c>
      <c r="C43" s="79" t="s">
        <v>259</v>
      </c>
      <c r="D43" s="99">
        <v>1454</v>
      </c>
      <c r="E43" s="99">
        <v>214</v>
      </c>
      <c r="F43" s="99" t="s">
        <v>385</v>
      </c>
      <c r="G43" s="99">
        <v>12</v>
      </c>
      <c r="H43" s="99">
        <v>10</v>
      </c>
      <c r="I43" s="99">
        <v>21</v>
      </c>
      <c r="J43" s="99">
        <v>94</v>
      </c>
      <c r="K43" s="99" t="s">
        <v>634</v>
      </c>
      <c r="L43" s="99">
        <v>234</v>
      </c>
      <c r="M43" s="99">
        <v>35</v>
      </c>
      <c r="N43" s="99">
        <v>45</v>
      </c>
      <c r="O43" s="99">
        <v>47</v>
      </c>
      <c r="P43" s="159">
        <v>47</v>
      </c>
      <c r="Q43" s="99" t="s">
        <v>634</v>
      </c>
      <c r="R43" s="99">
        <v>8</v>
      </c>
      <c r="S43" s="99">
        <v>9</v>
      </c>
      <c r="T43" s="99">
        <v>14</v>
      </c>
      <c r="U43" s="99" t="s">
        <v>634</v>
      </c>
      <c r="V43" s="99">
        <v>10</v>
      </c>
      <c r="W43" s="99">
        <v>7</v>
      </c>
      <c r="X43" s="99">
        <v>7</v>
      </c>
      <c r="Y43" s="99">
        <v>16</v>
      </c>
      <c r="Z43" s="99">
        <v>16</v>
      </c>
      <c r="AA43" s="99" t="s">
        <v>634</v>
      </c>
      <c r="AB43" s="99" t="s">
        <v>634</v>
      </c>
      <c r="AC43" s="99" t="s">
        <v>634</v>
      </c>
      <c r="AD43" s="98" t="s">
        <v>364</v>
      </c>
      <c r="AE43" s="100">
        <v>0.14718019257221457</v>
      </c>
      <c r="AF43" s="100">
        <v>0.1</v>
      </c>
      <c r="AG43" s="98">
        <v>825.3094910591471</v>
      </c>
      <c r="AH43" s="98">
        <v>687.757909215956</v>
      </c>
      <c r="AI43" s="100">
        <v>0.013999999999999999</v>
      </c>
      <c r="AJ43" s="100">
        <v>0.666667</v>
      </c>
      <c r="AK43" s="100" t="s">
        <v>634</v>
      </c>
      <c r="AL43" s="100">
        <v>0.630728</v>
      </c>
      <c r="AM43" s="100">
        <v>0.251799</v>
      </c>
      <c r="AN43" s="100">
        <v>0.48913</v>
      </c>
      <c r="AO43" s="98">
        <v>3232.462173314993</v>
      </c>
      <c r="AP43" s="158">
        <v>1.824250183</v>
      </c>
      <c r="AQ43" s="100" t="s">
        <v>634</v>
      </c>
      <c r="AR43" s="100" t="s">
        <v>634</v>
      </c>
      <c r="AS43" s="98">
        <v>618.9821182943604</v>
      </c>
      <c r="AT43" s="98">
        <v>962.8610729023384</v>
      </c>
      <c r="AU43" s="98" t="s">
        <v>634</v>
      </c>
      <c r="AV43" s="98">
        <v>687.757909215956</v>
      </c>
      <c r="AW43" s="98">
        <v>481.4305364511692</v>
      </c>
      <c r="AX43" s="98">
        <v>481.4305364511692</v>
      </c>
      <c r="AY43" s="98">
        <v>1100.4126547455296</v>
      </c>
      <c r="AZ43" s="98">
        <v>1100.4126547455296</v>
      </c>
      <c r="BA43" s="100" t="s">
        <v>634</v>
      </c>
      <c r="BB43" s="100" t="s">
        <v>634</v>
      </c>
      <c r="BC43" s="100" t="s">
        <v>634</v>
      </c>
      <c r="BD43" s="158">
        <v>1.340390472</v>
      </c>
      <c r="BE43" s="158">
        <v>2.4258659359999997</v>
      </c>
      <c r="BF43" s="162">
        <v>141</v>
      </c>
      <c r="BG43" s="162" t="s">
        <v>634</v>
      </c>
      <c r="BH43" s="162">
        <v>371</v>
      </c>
      <c r="BI43" s="162">
        <v>139</v>
      </c>
      <c r="BJ43" s="162">
        <v>92</v>
      </c>
      <c r="BK43" s="97"/>
      <c r="BL43" s="97"/>
      <c r="BM43" s="97"/>
      <c r="BN43" s="97"/>
    </row>
    <row r="44" spans="1:66" ht="12.75">
      <c r="A44" s="79" t="s">
        <v>552</v>
      </c>
      <c r="B44" s="79" t="s">
        <v>286</v>
      </c>
      <c r="C44" s="79" t="s">
        <v>259</v>
      </c>
      <c r="D44" s="99">
        <v>6750</v>
      </c>
      <c r="E44" s="99">
        <v>1518</v>
      </c>
      <c r="F44" s="99" t="s">
        <v>387</v>
      </c>
      <c r="G44" s="99">
        <v>42</v>
      </c>
      <c r="H44" s="99">
        <v>21</v>
      </c>
      <c r="I44" s="99">
        <v>157</v>
      </c>
      <c r="J44" s="99">
        <v>635</v>
      </c>
      <c r="K44" s="99" t="s">
        <v>634</v>
      </c>
      <c r="L44" s="99">
        <v>1228</v>
      </c>
      <c r="M44" s="99">
        <v>264</v>
      </c>
      <c r="N44" s="99">
        <v>293</v>
      </c>
      <c r="O44" s="99">
        <v>130</v>
      </c>
      <c r="P44" s="159">
        <v>130</v>
      </c>
      <c r="Q44" s="99">
        <v>14</v>
      </c>
      <c r="R44" s="99">
        <v>30</v>
      </c>
      <c r="S44" s="99">
        <v>25</v>
      </c>
      <c r="T44" s="99">
        <v>31</v>
      </c>
      <c r="U44" s="99" t="s">
        <v>634</v>
      </c>
      <c r="V44" s="99">
        <v>22</v>
      </c>
      <c r="W44" s="99">
        <v>58</v>
      </c>
      <c r="X44" s="99">
        <v>15</v>
      </c>
      <c r="Y44" s="99">
        <v>49</v>
      </c>
      <c r="Z44" s="99">
        <v>40</v>
      </c>
      <c r="AA44" s="99" t="s">
        <v>634</v>
      </c>
      <c r="AB44" s="99" t="s">
        <v>634</v>
      </c>
      <c r="AC44" s="99" t="s">
        <v>634</v>
      </c>
      <c r="AD44" s="98" t="s">
        <v>364</v>
      </c>
      <c r="AE44" s="100">
        <v>0.2248888888888889</v>
      </c>
      <c r="AF44" s="100">
        <v>0.05</v>
      </c>
      <c r="AG44" s="98">
        <v>622.2222222222222</v>
      </c>
      <c r="AH44" s="98">
        <v>311.1111111111111</v>
      </c>
      <c r="AI44" s="100">
        <v>0.023</v>
      </c>
      <c r="AJ44" s="100">
        <v>0.723235</v>
      </c>
      <c r="AK44" s="100" t="s">
        <v>634</v>
      </c>
      <c r="AL44" s="100">
        <v>0.804718</v>
      </c>
      <c r="AM44" s="100">
        <v>0.316547</v>
      </c>
      <c r="AN44" s="100">
        <v>0.573386</v>
      </c>
      <c r="AO44" s="98">
        <v>1925.9259259259259</v>
      </c>
      <c r="AP44" s="158">
        <v>0.9004789734</v>
      </c>
      <c r="AQ44" s="100">
        <v>0.1076923076923077</v>
      </c>
      <c r="AR44" s="100">
        <v>0.4666666666666667</v>
      </c>
      <c r="AS44" s="98">
        <v>370.3703703703704</v>
      </c>
      <c r="AT44" s="98">
        <v>459.25925925925924</v>
      </c>
      <c r="AU44" s="98" t="s">
        <v>634</v>
      </c>
      <c r="AV44" s="98">
        <v>325.9259259259259</v>
      </c>
      <c r="AW44" s="98">
        <v>859.2592592592592</v>
      </c>
      <c r="AX44" s="98">
        <v>222.22222222222223</v>
      </c>
      <c r="AY44" s="98">
        <v>725.925925925926</v>
      </c>
      <c r="AZ44" s="98">
        <v>592.5925925925926</v>
      </c>
      <c r="BA44" s="100" t="s">
        <v>634</v>
      </c>
      <c r="BB44" s="100" t="s">
        <v>634</v>
      </c>
      <c r="BC44" s="100" t="s">
        <v>634</v>
      </c>
      <c r="BD44" s="158">
        <v>0.7523478699</v>
      </c>
      <c r="BE44" s="158">
        <v>1.069245682</v>
      </c>
      <c r="BF44" s="162">
        <v>878</v>
      </c>
      <c r="BG44" s="162" t="s">
        <v>634</v>
      </c>
      <c r="BH44" s="162">
        <v>1526</v>
      </c>
      <c r="BI44" s="162">
        <v>834</v>
      </c>
      <c r="BJ44" s="162">
        <v>511</v>
      </c>
      <c r="BK44" s="97"/>
      <c r="BL44" s="97"/>
      <c r="BM44" s="97"/>
      <c r="BN44" s="97"/>
    </row>
    <row r="45" spans="1:66" ht="12.75">
      <c r="A45" s="79" t="s">
        <v>618</v>
      </c>
      <c r="B45" s="79" t="s">
        <v>354</v>
      </c>
      <c r="C45" s="79" t="s">
        <v>259</v>
      </c>
      <c r="D45" s="99">
        <v>9201</v>
      </c>
      <c r="E45" s="99">
        <v>551</v>
      </c>
      <c r="F45" s="99" t="s">
        <v>387</v>
      </c>
      <c r="G45" s="99">
        <v>25</v>
      </c>
      <c r="H45" s="99">
        <v>6</v>
      </c>
      <c r="I45" s="99">
        <v>115</v>
      </c>
      <c r="J45" s="99">
        <v>572</v>
      </c>
      <c r="K45" s="99">
        <v>238</v>
      </c>
      <c r="L45" s="99">
        <v>2185</v>
      </c>
      <c r="M45" s="99">
        <v>197</v>
      </c>
      <c r="N45" s="99">
        <v>178</v>
      </c>
      <c r="O45" s="99">
        <v>101</v>
      </c>
      <c r="P45" s="159">
        <v>101</v>
      </c>
      <c r="Q45" s="99">
        <v>12</v>
      </c>
      <c r="R45" s="99">
        <v>22</v>
      </c>
      <c r="S45" s="99">
        <v>30</v>
      </c>
      <c r="T45" s="99">
        <v>21</v>
      </c>
      <c r="U45" s="99" t="s">
        <v>634</v>
      </c>
      <c r="V45" s="99">
        <v>16</v>
      </c>
      <c r="W45" s="99">
        <v>57</v>
      </c>
      <c r="X45" s="99">
        <v>27</v>
      </c>
      <c r="Y45" s="99">
        <v>64</v>
      </c>
      <c r="Z45" s="99">
        <v>31</v>
      </c>
      <c r="AA45" s="99" t="s">
        <v>634</v>
      </c>
      <c r="AB45" s="99" t="s">
        <v>634</v>
      </c>
      <c r="AC45" s="99" t="s">
        <v>634</v>
      </c>
      <c r="AD45" s="98" t="s">
        <v>364</v>
      </c>
      <c r="AE45" s="100">
        <v>0.05988479513096403</v>
      </c>
      <c r="AF45" s="100">
        <v>0.05</v>
      </c>
      <c r="AG45" s="98">
        <v>271.7095967829584</v>
      </c>
      <c r="AH45" s="98">
        <v>65.21030322791</v>
      </c>
      <c r="AI45" s="100">
        <v>0.012</v>
      </c>
      <c r="AJ45" s="100">
        <v>0.818312</v>
      </c>
      <c r="AK45" s="100">
        <v>0.835088</v>
      </c>
      <c r="AL45" s="100">
        <v>0.829222</v>
      </c>
      <c r="AM45" s="100">
        <v>0.368914</v>
      </c>
      <c r="AN45" s="100">
        <v>0.589404</v>
      </c>
      <c r="AO45" s="98">
        <v>1097.7067710031517</v>
      </c>
      <c r="AP45" s="158">
        <v>0.82344841</v>
      </c>
      <c r="AQ45" s="100">
        <v>0.1188118811881188</v>
      </c>
      <c r="AR45" s="100">
        <v>0.5454545454545454</v>
      </c>
      <c r="AS45" s="98">
        <v>326.0515161395501</v>
      </c>
      <c r="AT45" s="98">
        <v>228.23606129768504</v>
      </c>
      <c r="AU45" s="98" t="s">
        <v>634</v>
      </c>
      <c r="AV45" s="98">
        <v>173.89414194109335</v>
      </c>
      <c r="AW45" s="98">
        <v>619.4978806651451</v>
      </c>
      <c r="AX45" s="98">
        <v>293.4463645255951</v>
      </c>
      <c r="AY45" s="98">
        <v>695.5765677643734</v>
      </c>
      <c r="AZ45" s="98">
        <v>336.9199000108684</v>
      </c>
      <c r="BA45" s="100" t="s">
        <v>634</v>
      </c>
      <c r="BB45" s="100" t="s">
        <v>634</v>
      </c>
      <c r="BC45" s="100" t="s">
        <v>634</v>
      </c>
      <c r="BD45" s="158">
        <v>0.6707122803</v>
      </c>
      <c r="BE45" s="158">
        <v>1.000564499</v>
      </c>
      <c r="BF45" s="162">
        <v>699</v>
      </c>
      <c r="BG45" s="162">
        <v>285</v>
      </c>
      <c r="BH45" s="162">
        <v>2635</v>
      </c>
      <c r="BI45" s="162">
        <v>534</v>
      </c>
      <c r="BJ45" s="162">
        <v>302</v>
      </c>
      <c r="BK45" s="97"/>
      <c r="BL45" s="97"/>
      <c r="BM45" s="97"/>
      <c r="BN45" s="97"/>
    </row>
    <row r="46" spans="1:66" ht="12.75">
      <c r="A46" s="79" t="s">
        <v>613</v>
      </c>
      <c r="B46" s="79" t="s">
        <v>348</v>
      </c>
      <c r="C46" s="79" t="s">
        <v>259</v>
      </c>
      <c r="D46" s="99">
        <v>8606</v>
      </c>
      <c r="E46" s="99">
        <v>705</v>
      </c>
      <c r="F46" s="99" t="s">
        <v>387</v>
      </c>
      <c r="G46" s="99">
        <v>33</v>
      </c>
      <c r="H46" s="99">
        <v>9</v>
      </c>
      <c r="I46" s="99">
        <v>140</v>
      </c>
      <c r="J46" s="99">
        <v>762</v>
      </c>
      <c r="K46" s="99">
        <v>8</v>
      </c>
      <c r="L46" s="99">
        <v>1812</v>
      </c>
      <c r="M46" s="99">
        <v>264</v>
      </c>
      <c r="N46" s="99">
        <v>279</v>
      </c>
      <c r="O46" s="99">
        <v>99</v>
      </c>
      <c r="P46" s="159">
        <v>99</v>
      </c>
      <c r="Q46" s="99">
        <v>15</v>
      </c>
      <c r="R46" s="99">
        <v>25</v>
      </c>
      <c r="S46" s="99">
        <v>29</v>
      </c>
      <c r="T46" s="99">
        <v>6</v>
      </c>
      <c r="U46" s="99" t="s">
        <v>634</v>
      </c>
      <c r="V46" s="99">
        <v>25</v>
      </c>
      <c r="W46" s="99">
        <v>33</v>
      </c>
      <c r="X46" s="99">
        <v>7</v>
      </c>
      <c r="Y46" s="99">
        <v>44</v>
      </c>
      <c r="Z46" s="99">
        <v>30</v>
      </c>
      <c r="AA46" s="99" t="s">
        <v>634</v>
      </c>
      <c r="AB46" s="99" t="s">
        <v>634</v>
      </c>
      <c r="AC46" s="99" t="s">
        <v>634</v>
      </c>
      <c r="AD46" s="98" t="s">
        <v>364</v>
      </c>
      <c r="AE46" s="100">
        <v>0.0819195909830351</v>
      </c>
      <c r="AF46" s="100">
        <v>0.05</v>
      </c>
      <c r="AG46" s="98">
        <v>383.45340460144087</v>
      </c>
      <c r="AH46" s="98">
        <v>104.57820125493842</v>
      </c>
      <c r="AI46" s="100">
        <v>0.016</v>
      </c>
      <c r="AJ46" s="100">
        <v>0.757455</v>
      </c>
      <c r="AK46" s="100">
        <v>0.666667</v>
      </c>
      <c r="AL46" s="100">
        <v>0.815849</v>
      </c>
      <c r="AM46" s="100">
        <v>0.378766</v>
      </c>
      <c r="AN46" s="100">
        <v>0.685504</v>
      </c>
      <c r="AO46" s="98">
        <v>1150.3602138043225</v>
      </c>
      <c r="AP46" s="158">
        <v>0.771631546</v>
      </c>
      <c r="AQ46" s="100">
        <v>0.15151515151515152</v>
      </c>
      <c r="AR46" s="100">
        <v>0.6</v>
      </c>
      <c r="AS46" s="98">
        <v>336.97420404369046</v>
      </c>
      <c r="AT46" s="98">
        <v>69.7188008366256</v>
      </c>
      <c r="AU46" s="98" t="s">
        <v>634</v>
      </c>
      <c r="AV46" s="98">
        <v>290.49500348594006</v>
      </c>
      <c r="AW46" s="98">
        <v>383.45340460144087</v>
      </c>
      <c r="AX46" s="98">
        <v>81.3386009760632</v>
      </c>
      <c r="AY46" s="98">
        <v>511.2712061352545</v>
      </c>
      <c r="AZ46" s="98">
        <v>348.59400418312805</v>
      </c>
      <c r="BA46" s="100" t="s">
        <v>634</v>
      </c>
      <c r="BB46" s="100" t="s">
        <v>634</v>
      </c>
      <c r="BC46" s="100" t="s">
        <v>634</v>
      </c>
      <c r="BD46" s="158">
        <v>0.6271440506</v>
      </c>
      <c r="BE46" s="158">
        <v>0.93943367</v>
      </c>
      <c r="BF46" s="162">
        <v>1006</v>
      </c>
      <c r="BG46" s="162">
        <v>12</v>
      </c>
      <c r="BH46" s="162">
        <v>2221</v>
      </c>
      <c r="BI46" s="162">
        <v>697</v>
      </c>
      <c r="BJ46" s="162">
        <v>407</v>
      </c>
      <c r="BK46" s="97"/>
      <c r="BL46" s="97"/>
      <c r="BM46" s="97"/>
      <c r="BN46" s="97"/>
    </row>
    <row r="47" spans="1:66" ht="12.75">
      <c r="A47" s="79" t="s">
        <v>571</v>
      </c>
      <c r="B47" s="79" t="s">
        <v>306</v>
      </c>
      <c r="C47" s="79" t="s">
        <v>259</v>
      </c>
      <c r="D47" s="99">
        <v>19498</v>
      </c>
      <c r="E47" s="99">
        <v>3784</v>
      </c>
      <c r="F47" s="99" t="s">
        <v>387</v>
      </c>
      <c r="G47" s="99">
        <v>120</v>
      </c>
      <c r="H47" s="99">
        <v>45</v>
      </c>
      <c r="I47" s="99">
        <v>303</v>
      </c>
      <c r="J47" s="99">
        <v>1854</v>
      </c>
      <c r="K47" s="99" t="s">
        <v>634</v>
      </c>
      <c r="L47" s="99">
        <v>3553</v>
      </c>
      <c r="M47" s="99">
        <v>755</v>
      </c>
      <c r="N47" s="99">
        <v>823</v>
      </c>
      <c r="O47" s="99">
        <v>344</v>
      </c>
      <c r="P47" s="159">
        <v>344</v>
      </c>
      <c r="Q47" s="99">
        <v>52</v>
      </c>
      <c r="R47" s="99">
        <v>78</v>
      </c>
      <c r="S47" s="99">
        <v>72</v>
      </c>
      <c r="T47" s="99">
        <v>55</v>
      </c>
      <c r="U47" s="99" t="s">
        <v>634</v>
      </c>
      <c r="V47" s="99">
        <v>95</v>
      </c>
      <c r="W47" s="99">
        <v>151</v>
      </c>
      <c r="X47" s="99">
        <v>50</v>
      </c>
      <c r="Y47" s="99">
        <v>216</v>
      </c>
      <c r="Z47" s="99">
        <v>132</v>
      </c>
      <c r="AA47" s="99" t="s">
        <v>634</v>
      </c>
      <c r="AB47" s="99" t="s">
        <v>634</v>
      </c>
      <c r="AC47" s="99" t="s">
        <v>634</v>
      </c>
      <c r="AD47" s="98" t="s">
        <v>364</v>
      </c>
      <c r="AE47" s="100">
        <v>0.19407118678838856</v>
      </c>
      <c r="AF47" s="100">
        <v>0.08</v>
      </c>
      <c r="AG47" s="98">
        <v>615.447738229562</v>
      </c>
      <c r="AH47" s="98">
        <v>230.79290183608575</v>
      </c>
      <c r="AI47" s="100">
        <v>0.016</v>
      </c>
      <c r="AJ47" s="100">
        <v>0.751825</v>
      </c>
      <c r="AK47" s="100" t="s">
        <v>634</v>
      </c>
      <c r="AL47" s="100">
        <v>0.741135</v>
      </c>
      <c r="AM47" s="100">
        <v>0.32265</v>
      </c>
      <c r="AN47" s="100">
        <v>0.582449</v>
      </c>
      <c r="AO47" s="98">
        <v>1764.2835162580777</v>
      </c>
      <c r="AP47" s="158">
        <v>0.8874681854</v>
      </c>
      <c r="AQ47" s="100">
        <v>0.1511627906976744</v>
      </c>
      <c r="AR47" s="100">
        <v>0.6666666666666666</v>
      </c>
      <c r="AS47" s="98">
        <v>369.2686429377372</v>
      </c>
      <c r="AT47" s="98">
        <v>282.0802133552159</v>
      </c>
      <c r="AU47" s="98" t="s">
        <v>634</v>
      </c>
      <c r="AV47" s="98">
        <v>487.2294594317366</v>
      </c>
      <c r="AW47" s="98">
        <v>774.4384039388656</v>
      </c>
      <c r="AX47" s="98">
        <v>256.4365575956508</v>
      </c>
      <c r="AY47" s="98">
        <v>1107.8059288132117</v>
      </c>
      <c r="AZ47" s="98">
        <v>676.9925120525182</v>
      </c>
      <c r="BA47" s="100" t="s">
        <v>634</v>
      </c>
      <c r="BB47" s="100" t="s">
        <v>634</v>
      </c>
      <c r="BC47" s="100" t="s">
        <v>634</v>
      </c>
      <c r="BD47" s="158">
        <v>0.7961525726</v>
      </c>
      <c r="BE47" s="158">
        <v>0.9863858032</v>
      </c>
      <c r="BF47" s="162">
        <v>2466</v>
      </c>
      <c r="BG47" s="162" t="s">
        <v>634</v>
      </c>
      <c r="BH47" s="162">
        <v>4794</v>
      </c>
      <c r="BI47" s="162">
        <v>2340</v>
      </c>
      <c r="BJ47" s="162">
        <v>1413</v>
      </c>
      <c r="BK47" s="97"/>
      <c r="BL47" s="97"/>
      <c r="BM47" s="97"/>
      <c r="BN47" s="97"/>
    </row>
    <row r="48" spans="1:66" ht="12.75">
      <c r="A48" s="79" t="s">
        <v>588</v>
      </c>
      <c r="B48" s="79" t="s">
        <v>323</v>
      </c>
      <c r="C48" s="79" t="s">
        <v>259</v>
      </c>
      <c r="D48" s="99">
        <v>12763</v>
      </c>
      <c r="E48" s="99">
        <v>1878</v>
      </c>
      <c r="F48" s="99" t="s">
        <v>385</v>
      </c>
      <c r="G48" s="99">
        <v>63</v>
      </c>
      <c r="H48" s="99">
        <v>41</v>
      </c>
      <c r="I48" s="99">
        <v>219</v>
      </c>
      <c r="J48" s="99">
        <v>980</v>
      </c>
      <c r="K48" s="99">
        <v>942</v>
      </c>
      <c r="L48" s="99">
        <v>2442</v>
      </c>
      <c r="M48" s="99">
        <v>395</v>
      </c>
      <c r="N48" s="99">
        <v>352</v>
      </c>
      <c r="O48" s="99">
        <v>175</v>
      </c>
      <c r="P48" s="159">
        <v>175</v>
      </c>
      <c r="Q48" s="99">
        <v>19</v>
      </c>
      <c r="R48" s="99">
        <v>38</v>
      </c>
      <c r="S48" s="99">
        <v>38</v>
      </c>
      <c r="T48" s="99">
        <v>27</v>
      </c>
      <c r="U48" s="99">
        <v>8</v>
      </c>
      <c r="V48" s="99">
        <v>40</v>
      </c>
      <c r="W48" s="99">
        <v>90</v>
      </c>
      <c r="X48" s="99">
        <v>17</v>
      </c>
      <c r="Y48" s="99">
        <v>98</v>
      </c>
      <c r="Z48" s="99">
        <v>83</v>
      </c>
      <c r="AA48" s="99" t="s">
        <v>634</v>
      </c>
      <c r="AB48" s="99" t="s">
        <v>634</v>
      </c>
      <c r="AC48" s="99" t="s">
        <v>634</v>
      </c>
      <c r="AD48" s="98" t="s">
        <v>364</v>
      </c>
      <c r="AE48" s="100">
        <v>0.1471440883804748</v>
      </c>
      <c r="AF48" s="100">
        <v>0.11</v>
      </c>
      <c r="AG48" s="98">
        <v>493.61435399200815</v>
      </c>
      <c r="AH48" s="98">
        <v>321.2410875186085</v>
      </c>
      <c r="AI48" s="100">
        <v>0.017</v>
      </c>
      <c r="AJ48" s="100">
        <v>0.772262</v>
      </c>
      <c r="AK48" s="100">
        <v>0.775947</v>
      </c>
      <c r="AL48" s="100">
        <v>0.711953</v>
      </c>
      <c r="AM48" s="100">
        <v>0.346188</v>
      </c>
      <c r="AN48" s="100">
        <v>0.551724</v>
      </c>
      <c r="AO48" s="98">
        <v>1371.1509833111338</v>
      </c>
      <c r="AP48" s="158">
        <v>0.787106781</v>
      </c>
      <c r="AQ48" s="100">
        <v>0.10857142857142857</v>
      </c>
      <c r="AR48" s="100">
        <v>0.5</v>
      </c>
      <c r="AS48" s="98">
        <v>297.7356420904176</v>
      </c>
      <c r="AT48" s="98">
        <v>211.54900885371777</v>
      </c>
      <c r="AU48" s="98">
        <v>62.68118780850897</v>
      </c>
      <c r="AV48" s="98">
        <v>313.40593904254484</v>
      </c>
      <c r="AW48" s="98">
        <v>705.1633628457259</v>
      </c>
      <c r="AX48" s="98">
        <v>133.19752409308157</v>
      </c>
      <c r="AY48" s="98">
        <v>767.8445506542349</v>
      </c>
      <c r="AZ48" s="98">
        <v>650.3173235132806</v>
      </c>
      <c r="BA48" s="100" t="s">
        <v>634</v>
      </c>
      <c r="BB48" s="100" t="s">
        <v>634</v>
      </c>
      <c r="BC48" s="100" t="s">
        <v>634</v>
      </c>
      <c r="BD48" s="158">
        <v>0.6748062897</v>
      </c>
      <c r="BE48" s="158">
        <v>0.9127545929</v>
      </c>
      <c r="BF48" s="162">
        <v>1269</v>
      </c>
      <c r="BG48" s="162">
        <v>1214</v>
      </c>
      <c r="BH48" s="162">
        <v>3430</v>
      </c>
      <c r="BI48" s="162">
        <v>1141</v>
      </c>
      <c r="BJ48" s="162">
        <v>638</v>
      </c>
      <c r="BK48" s="97"/>
      <c r="BL48" s="97"/>
      <c r="BM48" s="97"/>
      <c r="BN48" s="97"/>
    </row>
    <row r="49" spans="1:66" ht="12.75">
      <c r="A49" s="79" t="s">
        <v>585</v>
      </c>
      <c r="B49" s="79" t="s">
        <v>320</v>
      </c>
      <c r="C49" s="79" t="s">
        <v>259</v>
      </c>
      <c r="D49" s="99">
        <v>12630</v>
      </c>
      <c r="E49" s="99">
        <v>2098</v>
      </c>
      <c r="F49" s="99" t="s">
        <v>387</v>
      </c>
      <c r="G49" s="99">
        <v>52</v>
      </c>
      <c r="H49" s="99">
        <v>27</v>
      </c>
      <c r="I49" s="99">
        <v>205</v>
      </c>
      <c r="J49" s="99">
        <v>1274</v>
      </c>
      <c r="K49" s="99">
        <v>10</v>
      </c>
      <c r="L49" s="99">
        <v>2570</v>
      </c>
      <c r="M49" s="99">
        <v>483</v>
      </c>
      <c r="N49" s="99">
        <v>512</v>
      </c>
      <c r="O49" s="99">
        <v>214</v>
      </c>
      <c r="P49" s="159">
        <v>214</v>
      </c>
      <c r="Q49" s="99">
        <v>28</v>
      </c>
      <c r="R49" s="99">
        <v>46</v>
      </c>
      <c r="S49" s="99">
        <v>48</v>
      </c>
      <c r="T49" s="99">
        <v>40</v>
      </c>
      <c r="U49" s="99" t="s">
        <v>634</v>
      </c>
      <c r="V49" s="99">
        <v>56</v>
      </c>
      <c r="W49" s="99">
        <v>83</v>
      </c>
      <c r="X49" s="99">
        <v>33</v>
      </c>
      <c r="Y49" s="99">
        <v>111</v>
      </c>
      <c r="Z49" s="99">
        <v>79</v>
      </c>
      <c r="AA49" s="99" t="s">
        <v>634</v>
      </c>
      <c r="AB49" s="99" t="s">
        <v>634</v>
      </c>
      <c r="AC49" s="99" t="s">
        <v>634</v>
      </c>
      <c r="AD49" s="98" t="s">
        <v>364</v>
      </c>
      <c r="AE49" s="100">
        <v>0.16611243072050674</v>
      </c>
      <c r="AF49" s="100">
        <v>0.07</v>
      </c>
      <c r="AG49" s="98">
        <v>411.7181314330958</v>
      </c>
      <c r="AH49" s="98">
        <v>213.77672209026127</v>
      </c>
      <c r="AI49" s="100">
        <v>0.016</v>
      </c>
      <c r="AJ49" s="100">
        <v>0.775883</v>
      </c>
      <c r="AK49" s="100">
        <v>0.555556</v>
      </c>
      <c r="AL49" s="100">
        <v>0.792965</v>
      </c>
      <c r="AM49" s="100">
        <v>0.317554</v>
      </c>
      <c r="AN49" s="100">
        <v>0.578531</v>
      </c>
      <c r="AO49" s="98">
        <v>1694.3784639746634</v>
      </c>
      <c r="AP49" s="158">
        <v>0.8830197905999999</v>
      </c>
      <c r="AQ49" s="100">
        <v>0.1308411214953271</v>
      </c>
      <c r="AR49" s="100">
        <v>0.6086956521739131</v>
      </c>
      <c r="AS49" s="98">
        <v>380.0475059382423</v>
      </c>
      <c r="AT49" s="98">
        <v>316.7062549485352</v>
      </c>
      <c r="AU49" s="98" t="s">
        <v>634</v>
      </c>
      <c r="AV49" s="98">
        <v>443.3887569279493</v>
      </c>
      <c r="AW49" s="98">
        <v>657.1654790182106</v>
      </c>
      <c r="AX49" s="98">
        <v>261.2826603325416</v>
      </c>
      <c r="AY49" s="98">
        <v>878.8598574821852</v>
      </c>
      <c r="AZ49" s="98">
        <v>625.494853523357</v>
      </c>
      <c r="BA49" s="100" t="s">
        <v>634</v>
      </c>
      <c r="BB49" s="100" t="s">
        <v>634</v>
      </c>
      <c r="BC49" s="100" t="s">
        <v>634</v>
      </c>
      <c r="BD49" s="158">
        <v>0.7686678314</v>
      </c>
      <c r="BE49" s="158">
        <v>1.009588089</v>
      </c>
      <c r="BF49" s="162">
        <v>1642</v>
      </c>
      <c r="BG49" s="162">
        <v>18</v>
      </c>
      <c r="BH49" s="162">
        <v>3241</v>
      </c>
      <c r="BI49" s="162">
        <v>1521</v>
      </c>
      <c r="BJ49" s="162">
        <v>885</v>
      </c>
      <c r="BK49" s="97"/>
      <c r="BL49" s="97"/>
      <c r="BM49" s="97"/>
      <c r="BN49" s="97"/>
    </row>
    <row r="50" spans="1:66" ht="12.75">
      <c r="A50" s="79" t="s">
        <v>610</v>
      </c>
      <c r="B50" s="79" t="s">
        <v>345</v>
      </c>
      <c r="C50" s="79" t="s">
        <v>259</v>
      </c>
      <c r="D50" s="99">
        <v>4632</v>
      </c>
      <c r="E50" s="99">
        <v>652</v>
      </c>
      <c r="F50" s="99" t="s">
        <v>385</v>
      </c>
      <c r="G50" s="99">
        <v>15</v>
      </c>
      <c r="H50" s="99" t="s">
        <v>634</v>
      </c>
      <c r="I50" s="99">
        <v>58</v>
      </c>
      <c r="J50" s="99">
        <v>291</v>
      </c>
      <c r="K50" s="99">
        <v>277</v>
      </c>
      <c r="L50" s="99">
        <v>903</v>
      </c>
      <c r="M50" s="99">
        <v>122</v>
      </c>
      <c r="N50" s="99">
        <v>117</v>
      </c>
      <c r="O50" s="99">
        <v>60</v>
      </c>
      <c r="P50" s="159">
        <v>60</v>
      </c>
      <c r="Q50" s="99">
        <v>11</v>
      </c>
      <c r="R50" s="99">
        <v>18</v>
      </c>
      <c r="S50" s="99">
        <v>18</v>
      </c>
      <c r="T50" s="99">
        <v>7</v>
      </c>
      <c r="U50" s="99" t="s">
        <v>634</v>
      </c>
      <c r="V50" s="99">
        <v>12</v>
      </c>
      <c r="W50" s="99">
        <v>21</v>
      </c>
      <c r="X50" s="99" t="s">
        <v>634</v>
      </c>
      <c r="Y50" s="99">
        <v>27</v>
      </c>
      <c r="Z50" s="99">
        <v>29</v>
      </c>
      <c r="AA50" s="99" t="s">
        <v>634</v>
      </c>
      <c r="AB50" s="99" t="s">
        <v>634</v>
      </c>
      <c r="AC50" s="99" t="s">
        <v>634</v>
      </c>
      <c r="AD50" s="98" t="s">
        <v>364</v>
      </c>
      <c r="AE50" s="100">
        <v>0.14075993091537134</v>
      </c>
      <c r="AF50" s="100">
        <v>0.09</v>
      </c>
      <c r="AG50" s="98">
        <v>323.8341968911917</v>
      </c>
      <c r="AH50" s="98" t="s">
        <v>634</v>
      </c>
      <c r="AI50" s="100">
        <v>0.013000000000000001</v>
      </c>
      <c r="AJ50" s="100">
        <v>0.75</v>
      </c>
      <c r="AK50" s="100">
        <v>0.744624</v>
      </c>
      <c r="AL50" s="100">
        <v>0.767857</v>
      </c>
      <c r="AM50" s="100">
        <v>0.316883</v>
      </c>
      <c r="AN50" s="100">
        <v>0.536697</v>
      </c>
      <c r="AO50" s="98">
        <v>1295.3367875647668</v>
      </c>
      <c r="AP50" s="158">
        <v>0.7879543304000001</v>
      </c>
      <c r="AQ50" s="100">
        <v>0.18333333333333332</v>
      </c>
      <c r="AR50" s="100">
        <v>0.6111111111111112</v>
      </c>
      <c r="AS50" s="98">
        <v>388.60103626943004</v>
      </c>
      <c r="AT50" s="98">
        <v>151.12262521588946</v>
      </c>
      <c r="AU50" s="98" t="s">
        <v>634</v>
      </c>
      <c r="AV50" s="98">
        <v>259.0673575129534</v>
      </c>
      <c r="AW50" s="98">
        <v>453.36787564766837</v>
      </c>
      <c r="AX50" s="98" t="s">
        <v>634</v>
      </c>
      <c r="AY50" s="98">
        <v>582.901554404145</v>
      </c>
      <c r="AZ50" s="98">
        <v>626.0794473229706</v>
      </c>
      <c r="BA50" s="100" t="s">
        <v>634</v>
      </c>
      <c r="BB50" s="100" t="s">
        <v>634</v>
      </c>
      <c r="BC50" s="100" t="s">
        <v>634</v>
      </c>
      <c r="BD50" s="158">
        <v>0.6012921524</v>
      </c>
      <c r="BE50" s="158">
        <v>1.014253387</v>
      </c>
      <c r="BF50" s="162">
        <v>388</v>
      </c>
      <c r="BG50" s="162">
        <v>372</v>
      </c>
      <c r="BH50" s="162">
        <v>1176</v>
      </c>
      <c r="BI50" s="162">
        <v>385</v>
      </c>
      <c r="BJ50" s="162">
        <v>218</v>
      </c>
      <c r="BK50" s="97"/>
      <c r="BL50" s="97"/>
      <c r="BM50" s="97"/>
      <c r="BN50" s="97"/>
    </row>
    <row r="51" spans="1:66" ht="12.75">
      <c r="A51" s="79" t="s">
        <v>580</v>
      </c>
      <c r="B51" s="79" t="s">
        <v>315</v>
      </c>
      <c r="C51" s="79" t="s">
        <v>259</v>
      </c>
      <c r="D51" s="99">
        <v>4689</v>
      </c>
      <c r="E51" s="99">
        <v>934</v>
      </c>
      <c r="F51" s="99" t="s">
        <v>387</v>
      </c>
      <c r="G51" s="99">
        <v>33</v>
      </c>
      <c r="H51" s="99">
        <v>20</v>
      </c>
      <c r="I51" s="99">
        <v>127</v>
      </c>
      <c r="J51" s="99">
        <v>517</v>
      </c>
      <c r="K51" s="99">
        <v>7</v>
      </c>
      <c r="L51" s="99">
        <v>999</v>
      </c>
      <c r="M51" s="99">
        <v>202</v>
      </c>
      <c r="N51" s="99">
        <v>203</v>
      </c>
      <c r="O51" s="99">
        <v>109</v>
      </c>
      <c r="P51" s="159">
        <v>109</v>
      </c>
      <c r="Q51" s="99">
        <v>17</v>
      </c>
      <c r="R51" s="99">
        <v>25</v>
      </c>
      <c r="S51" s="99">
        <v>19</v>
      </c>
      <c r="T51" s="99">
        <v>20</v>
      </c>
      <c r="U51" s="99" t="s">
        <v>634</v>
      </c>
      <c r="V51" s="99">
        <v>21</v>
      </c>
      <c r="W51" s="99">
        <v>24</v>
      </c>
      <c r="X51" s="99">
        <v>10</v>
      </c>
      <c r="Y51" s="99">
        <v>28</v>
      </c>
      <c r="Z51" s="99">
        <v>45</v>
      </c>
      <c r="AA51" s="99" t="s">
        <v>634</v>
      </c>
      <c r="AB51" s="99" t="s">
        <v>634</v>
      </c>
      <c r="AC51" s="99" t="s">
        <v>634</v>
      </c>
      <c r="AD51" s="98" t="s">
        <v>364</v>
      </c>
      <c r="AE51" s="100">
        <v>0.19918959266368094</v>
      </c>
      <c r="AF51" s="100">
        <v>0.05</v>
      </c>
      <c r="AG51" s="98">
        <v>703.7747920665387</v>
      </c>
      <c r="AH51" s="98">
        <v>426.53017701002346</v>
      </c>
      <c r="AI51" s="100">
        <v>0.027000000000000003</v>
      </c>
      <c r="AJ51" s="100">
        <v>0.776276</v>
      </c>
      <c r="AK51" s="100">
        <v>0.583333</v>
      </c>
      <c r="AL51" s="100">
        <v>0.818182</v>
      </c>
      <c r="AM51" s="100">
        <v>0.328455</v>
      </c>
      <c r="AN51" s="100">
        <v>0.583333</v>
      </c>
      <c r="AO51" s="98">
        <v>2324.589464704628</v>
      </c>
      <c r="AP51" s="158">
        <v>1.12725296</v>
      </c>
      <c r="AQ51" s="100">
        <v>0.1559633027522936</v>
      </c>
      <c r="AR51" s="100">
        <v>0.68</v>
      </c>
      <c r="AS51" s="98">
        <v>405.2036681595223</v>
      </c>
      <c r="AT51" s="98">
        <v>426.53017701002346</v>
      </c>
      <c r="AU51" s="98" t="s">
        <v>634</v>
      </c>
      <c r="AV51" s="98">
        <v>447.85668586052464</v>
      </c>
      <c r="AW51" s="98">
        <v>511.83621241202815</v>
      </c>
      <c r="AX51" s="98">
        <v>213.26508850501173</v>
      </c>
      <c r="AY51" s="98">
        <v>597.1422478140329</v>
      </c>
      <c r="AZ51" s="98">
        <v>959.6928982725528</v>
      </c>
      <c r="BA51" s="100" t="s">
        <v>634</v>
      </c>
      <c r="BB51" s="100" t="s">
        <v>634</v>
      </c>
      <c r="BC51" s="100" t="s">
        <v>634</v>
      </c>
      <c r="BD51" s="158">
        <v>0.9255919647</v>
      </c>
      <c r="BE51" s="158">
        <v>1.359802551</v>
      </c>
      <c r="BF51" s="162">
        <v>666</v>
      </c>
      <c r="BG51" s="162">
        <v>12</v>
      </c>
      <c r="BH51" s="162">
        <v>1221</v>
      </c>
      <c r="BI51" s="162">
        <v>615</v>
      </c>
      <c r="BJ51" s="162">
        <v>348</v>
      </c>
      <c r="BK51" s="97"/>
      <c r="BL51" s="97"/>
      <c r="BM51" s="97"/>
      <c r="BN51" s="97"/>
    </row>
    <row r="52" spans="1:66" ht="12.75">
      <c r="A52" s="79" t="s">
        <v>582</v>
      </c>
      <c r="B52" s="79" t="s">
        <v>317</v>
      </c>
      <c r="C52" s="79" t="s">
        <v>259</v>
      </c>
      <c r="D52" s="99">
        <v>12259</v>
      </c>
      <c r="E52" s="99">
        <v>2106</v>
      </c>
      <c r="F52" s="99" t="s">
        <v>387</v>
      </c>
      <c r="G52" s="99">
        <v>44</v>
      </c>
      <c r="H52" s="99">
        <v>24</v>
      </c>
      <c r="I52" s="99">
        <v>253</v>
      </c>
      <c r="J52" s="99">
        <v>1251</v>
      </c>
      <c r="K52" s="99">
        <v>58</v>
      </c>
      <c r="L52" s="99">
        <v>2444</v>
      </c>
      <c r="M52" s="99">
        <v>512</v>
      </c>
      <c r="N52" s="99">
        <v>438</v>
      </c>
      <c r="O52" s="99">
        <v>403</v>
      </c>
      <c r="P52" s="159">
        <v>403</v>
      </c>
      <c r="Q52" s="99">
        <v>47</v>
      </c>
      <c r="R52" s="99">
        <v>64</v>
      </c>
      <c r="S52" s="99">
        <v>57</v>
      </c>
      <c r="T52" s="99">
        <v>69</v>
      </c>
      <c r="U52" s="99">
        <v>15</v>
      </c>
      <c r="V52" s="99">
        <v>96</v>
      </c>
      <c r="W52" s="99">
        <v>119</v>
      </c>
      <c r="X52" s="99">
        <v>72</v>
      </c>
      <c r="Y52" s="99">
        <v>150</v>
      </c>
      <c r="Z52" s="99">
        <v>99</v>
      </c>
      <c r="AA52" s="99" t="s">
        <v>634</v>
      </c>
      <c r="AB52" s="99" t="s">
        <v>634</v>
      </c>
      <c r="AC52" s="99" t="s">
        <v>634</v>
      </c>
      <c r="AD52" s="98" t="s">
        <v>364</v>
      </c>
      <c r="AE52" s="100">
        <v>0.17179215270413573</v>
      </c>
      <c r="AF52" s="100">
        <v>0.07</v>
      </c>
      <c r="AG52" s="98">
        <v>358.9199771596378</v>
      </c>
      <c r="AH52" s="98">
        <v>195.77453299616607</v>
      </c>
      <c r="AI52" s="100">
        <v>0.021</v>
      </c>
      <c r="AJ52" s="100">
        <v>0.813394</v>
      </c>
      <c r="AK52" s="100">
        <v>0.753247</v>
      </c>
      <c r="AL52" s="100">
        <v>0.809272</v>
      </c>
      <c r="AM52" s="100">
        <v>0.380104</v>
      </c>
      <c r="AN52" s="100">
        <v>0.587919</v>
      </c>
      <c r="AO52" s="98">
        <v>3287.3806998939554</v>
      </c>
      <c r="AP52" s="158">
        <v>1.7085238649999999</v>
      </c>
      <c r="AQ52" s="100">
        <v>0.11662531017369727</v>
      </c>
      <c r="AR52" s="100">
        <v>0.734375</v>
      </c>
      <c r="AS52" s="98">
        <v>464.96451586589444</v>
      </c>
      <c r="AT52" s="98">
        <v>562.8517823639775</v>
      </c>
      <c r="AU52" s="98">
        <v>122.3590831226038</v>
      </c>
      <c r="AV52" s="98">
        <v>783.0981319846643</v>
      </c>
      <c r="AW52" s="98">
        <v>970.7153927726569</v>
      </c>
      <c r="AX52" s="98">
        <v>587.3235989884982</v>
      </c>
      <c r="AY52" s="98">
        <v>1223.590831226038</v>
      </c>
      <c r="AZ52" s="98">
        <v>807.5699486091851</v>
      </c>
      <c r="BA52" s="100" t="s">
        <v>634</v>
      </c>
      <c r="BB52" s="100" t="s">
        <v>634</v>
      </c>
      <c r="BC52" s="100" t="s">
        <v>634</v>
      </c>
      <c r="BD52" s="158">
        <v>1.545763397</v>
      </c>
      <c r="BE52" s="158">
        <v>1.88375946</v>
      </c>
      <c r="BF52" s="162">
        <v>1538</v>
      </c>
      <c r="BG52" s="162">
        <v>77</v>
      </c>
      <c r="BH52" s="162">
        <v>3020</v>
      </c>
      <c r="BI52" s="162">
        <v>1347</v>
      </c>
      <c r="BJ52" s="162">
        <v>745</v>
      </c>
      <c r="BK52" s="97"/>
      <c r="BL52" s="97"/>
      <c r="BM52" s="97"/>
      <c r="BN52" s="97"/>
    </row>
    <row r="53" spans="1:66" ht="12.75">
      <c r="A53" s="79" t="s">
        <v>559</v>
      </c>
      <c r="B53" s="79" t="s">
        <v>294</v>
      </c>
      <c r="C53" s="79" t="s">
        <v>259</v>
      </c>
      <c r="D53" s="99">
        <v>9994</v>
      </c>
      <c r="E53" s="99">
        <v>1676</v>
      </c>
      <c r="F53" s="99" t="s">
        <v>387</v>
      </c>
      <c r="G53" s="99">
        <v>36</v>
      </c>
      <c r="H53" s="99">
        <v>29</v>
      </c>
      <c r="I53" s="99">
        <v>205</v>
      </c>
      <c r="J53" s="99">
        <v>996</v>
      </c>
      <c r="K53" s="99">
        <v>970</v>
      </c>
      <c r="L53" s="99">
        <v>1975</v>
      </c>
      <c r="M53" s="99">
        <v>443</v>
      </c>
      <c r="N53" s="99">
        <v>371</v>
      </c>
      <c r="O53" s="99">
        <v>182</v>
      </c>
      <c r="P53" s="159">
        <v>182</v>
      </c>
      <c r="Q53" s="99">
        <v>33</v>
      </c>
      <c r="R53" s="99">
        <v>49</v>
      </c>
      <c r="S53" s="99">
        <v>30</v>
      </c>
      <c r="T53" s="99">
        <v>46</v>
      </c>
      <c r="U53" s="99" t="s">
        <v>634</v>
      </c>
      <c r="V53" s="99">
        <v>22</v>
      </c>
      <c r="W53" s="99">
        <v>79</v>
      </c>
      <c r="X53" s="99">
        <v>27</v>
      </c>
      <c r="Y53" s="99">
        <v>77</v>
      </c>
      <c r="Z53" s="99">
        <v>58</v>
      </c>
      <c r="AA53" s="99" t="s">
        <v>634</v>
      </c>
      <c r="AB53" s="99" t="s">
        <v>634</v>
      </c>
      <c r="AC53" s="99" t="s">
        <v>634</v>
      </c>
      <c r="AD53" s="98" t="s">
        <v>364</v>
      </c>
      <c r="AE53" s="100">
        <v>0.16770062037222333</v>
      </c>
      <c r="AF53" s="100">
        <v>0.06</v>
      </c>
      <c r="AG53" s="98">
        <v>360.2161296778067</v>
      </c>
      <c r="AH53" s="98">
        <v>290.17410446267763</v>
      </c>
      <c r="AI53" s="100">
        <v>0.021</v>
      </c>
      <c r="AJ53" s="100">
        <v>0.783635</v>
      </c>
      <c r="AK53" s="100">
        <v>0.792484</v>
      </c>
      <c r="AL53" s="100">
        <v>0.767288</v>
      </c>
      <c r="AM53" s="100">
        <v>0.388256</v>
      </c>
      <c r="AN53" s="100">
        <v>0.575194</v>
      </c>
      <c r="AO53" s="98">
        <v>1821.092655593356</v>
      </c>
      <c r="AP53" s="158">
        <v>0.9473249054</v>
      </c>
      <c r="AQ53" s="100">
        <v>0.1813186813186813</v>
      </c>
      <c r="AR53" s="100">
        <v>0.673469387755102</v>
      </c>
      <c r="AS53" s="98">
        <v>300.1801080648389</v>
      </c>
      <c r="AT53" s="98">
        <v>460.27616569941966</v>
      </c>
      <c r="AU53" s="98" t="s">
        <v>634</v>
      </c>
      <c r="AV53" s="98">
        <v>220.13207924754852</v>
      </c>
      <c r="AW53" s="98">
        <v>790.4742845707425</v>
      </c>
      <c r="AX53" s="98">
        <v>270.162097258355</v>
      </c>
      <c r="AY53" s="98">
        <v>770.4622773664198</v>
      </c>
      <c r="AZ53" s="98">
        <v>580.3482089253553</v>
      </c>
      <c r="BA53" s="100" t="s">
        <v>634</v>
      </c>
      <c r="BB53" s="100" t="s">
        <v>634</v>
      </c>
      <c r="BC53" s="100" t="s">
        <v>634</v>
      </c>
      <c r="BD53" s="158">
        <v>0.8146897888</v>
      </c>
      <c r="BE53" s="158">
        <v>1.095399017</v>
      </c>
      <c r="BF53" s="162">
        <v>1271</v>
      </c>
      <c r="BG53" s="162">
        <v>1224</v>
      </c>
      <c r="BH53" s="162">
        <v>2574</v>
      </c>
      <c r="BI53" s="162">
        <v>1141</v>
      </c>
      <c r="BJ53" s="162">
        <v>645</v>
      </c>
      <c r="BK53" s="97"/>
      <c r="BL53" s="97"/>
      <c r="BM53" s="97"/>
      <c r="BN53" s="97"/>
    </row>
    <row r="54" spans="1:66" ht="12.75">
      <c r="A54" s="79" t="s">
        <v>560</v>
      </c>
      <c r="B54" s="79" t="s">
        <v>295</v>
      </c>
      <c r="C54" s="79" t="s">
        <v>259</v>
      </c>
      <c r="D54" s="99">
        <v>3426</v>
      </c>
      <c r="E54" s="99">
        <v>734</v>
      </c>
      <c r="F54" s="99" t="s">
        <v>387</v>
      </c>
      <c r="G54" s="99">
        <v>15</v>
      </c>
      <c r="H54" s="99">
        <v>8</v>
      </c>
      <c r="I54" s="99">
        <v>87</v>
      </c>
      <c r="J54" s="99">
        <v>356</v>
      </c>
      <c r="K54" s="99" t="s">
        <v>634</v>
      </c>
      <c r="L54" s="99">
        <v>693</v>
      </c>
      <c r="M54" s="99">
        <v>177</v>
      </c>
      <c r="N54" s="99">
        <v>152</v>
      </c>
      <c r="O54" s="99">
        <v>60</v>
      </c>
      <c r="P54" s="159">
        <v>60</v>
      </c>
      <c r="Q54" s="99">
        <v>12</v>
      </c>
      <c r="R54" s="99">
        <v>15</v>
      </c>
      <c r="S54" s="99">
        <v>10</v>
      </c>
      <c r="T54" s="99">
        <v>17</v>
      </c>
      <c r="U54" s="99" t="s">
        <v>634</v>
      </c>
      <c r="V54" s="99">
        <v>9</v>
      </c>
      <c r="W54" s="99">
        <v>14</v>
      </c>
      <c r="X54" s="99">
        <v>13</v>
      </c>
      <c r="Y54" s="99">
        <v>14</v>
      </c>
      <c r="Z54" s="99">
        <v>15</v>
      </c>
      <c r="AA54" s="99" t="s">
        <v>634</v>
      </c>
      <c r="AB54" s="99" t="s">
        <v>634</v>
      </c>
      <c r="AC54" s="99" t="s">
        <v>634</v>
      </c>
      <c r="AD54" s="98" t="s">
        <v>364</v>
      </c>
      <c r="AE54" s="100">
        <v>0.21424401634559254</v>
      </c>
      <c r="AF54" s="100">
        <v>0.05</v>
      </c>
      <c r="AG54" s="98">
        <v>437.82837127845886</v>
      </c>
      <c r="AH54" s="98">
        <v>233.5084646818447</v>
      </c>
      <c r="AI54" s="100">
        <v>0.025</v>
      </c>
      <c r="AJ54" s="100">
        <v>0.706349</v>
      </c>
      <c r="AK54" s="100" t="s">
        <v>634</v>
      </c>
      <c r="AL54" s="100">
        <v>0.806752</v>
      </c>
      <c r="AM54" s="100">
        <v>0.367983</v>
      </c>
      <c r="AN54" s="100">
        <v>0.539007</v>
      </c>
      <c r="AO54" s="98">
        <v>1751.3134851138354</v>
      </c>
      <c r="AP54" s="158">
        <v>0.7979394531</v>
      </c>
      <c r="AQ54" s="100">
        <v>0.2</v>
      </c>
      <c r="AR54" s="100">
        <v>0.8</v>
      </c>
      <c r="AS54" s="98">
        <v>291.8855808523059</v>
      </c>
      <c r="AT54" s="98">
        <v>496.20548744892</v>
      </c>
      <c r="AU54" s="98" t="s">
        <v>634</v>
      </c>
      <c r="AV54" s="98">
        <v>262.6970227670753</v>
      </c>
      <c r="AW54" s="98">
        <v>408.63981319322824</v>
      </c>
      <c r="AX54" s="98">
        <v>379.45125510799767</v>
      </c>
      <c r="AY54" s="98">
        <v>408.63981319322824</v>
      </c>
      <c r="AZ54" s="98">
        <v>437.82837127845886</v>
      </c>
      <c r="BA54" s="100" t="s">
        <v>634</v>
      </c>
      <c r="BB54" s="100" t="s">
        <v>634</v>
      </c>
      <c r="BC54" s="100" t="s">
        <v>634</v>
      </c>
      <c r="BD54" s="158">
        <v>0.6089118576</v>
      </c>
      <c r="BE54" s="158">
        <v>1.027106171</v>
      </c>
      <c r="BF54" s="162">
        <v>504</v>
      </c>
      <c r="BG54" s="162" t="s">
        <v>634</v>
      </c>
      <c r="BH54" s="162">
        <v>859</v>
      </c>
      <c r="BI54" s="162">
        <v>481</v>
      </c>
      <c r="BJ54" s="162">
        <v>282</v>
      </c>
      <c r="BK54" s="97"/>
      <c r="BL54" s="97"/>
      <c r="BM54" s="97"/>
      <c r="BN54" s="97"/>
    </row>
    <row r="55" spans="1:66" ht="12.75">
      <c r="A55" s="79" t="s">
        <v>563</v>
      </c>
      <c r="B55" s="79" t="s">
        <v>298</v>
      </c>
      <c r="C55" s="79" t="s">
        <v>259</v>
      </c>
      <c r="D55" s="99">
        <v>10927</v>
      </c>
      <c r="E55" s="99">
        <v>2194</v>
      </c>
      <c r="F55" s="99" t="s">
        <v>387</v>
      </c>
      <c r="G55" s="99">
        <v>71</v>
      </c>
      <c r="H55" s="99">
        <v>37</v>
      </c>
      <c r="I55" s="99">
        <v>231</v>
      </c>
      <c r="J55" s="99">
        <v>1153</v>
      </c>
      <c r="K55" s="99">
        <v>8</v>
      </c>
      <c r="L55" s="99">
        <v>2116</v>
      </c>
      <c r="M55" s="99">
        <v>567</v>
      </c>
      <c r="N55" s="99">
        <v>591</v>
      </c>
      <c r="O55" s="99">
        <v>193</v>
      </c>
      <c r="P55" s="159">
        <v>193</v>
      </c>
      <c r="Q55" s="99">
        <v>37</v>
      </c>
      <c r="R55" s="99">
        <v>52</v>
      </c>
      <c r="S55" s="99">
        <v>37</v>
      </c>
      <c r="T55" s="99">
        <v>32</v>
      </c>
      <c r="U55" s="99" t="s">
        <v>634</v>
      </c>
      <c r="V55" s="99">
        <v>41</v>
      </c>
      <c r="W55" s="99">
        <v>67</v>
      </c>
      <c r="X55" s="99">
        <v>12</v>
      </c>
      <c r="Y55" s="99">
        <v>72</v>
      </c>
      <c r="Z55" s="99">
        <v>86</v>
      </c>
      <c r="AA55" s="99" t="s">
        <v>634</v>
      </c>
      <c r="AB55" s="99" t="s">
        <v>634</v>
      </c>
      <c r="AC55" s="99" t="s">
        <v>634</v>
      </c>
      <c r="AD55" s="98" t="s">
        <v>364</v>
      </c>
      <c r="AE55" s="100">
        <v>0.20078704127390867</v>
      </c>
      <c r="AF55" s="100">
        <v>0.07</v>
      </c>
      <c r="AG55" s="98">
        <v>649.7666331106434</v>
      </c>
      <c r="AH55" s="98">
        <v>338.610780635124</v>
      </c>
      <c r="AI55" s="100">
        <v>0.021</v>
      </c>
      <c r="AJ55" s="100">
        <v>0.759052</v>
      </c>
      <c r="AK55" s="100">
        <v>0.533333</v>
      </c>
      <c r="AL55" s="100">
        <v>0.788376</v>
      </c>
      <c r="AM55" s="100">
        <v>0.366043</v>
      </c>
      <c r="AN55" s="100">
        <v>0.635484</v>
      </c>
      <c r="AO55" s="98">
        <v>1766.2670449345658</v>
      </c>
      <c r="AP55" s="158">
        <v>0.8623149872</v>
      </c>
      <c r="AQ55" s="100">
        <v>0.19170984455958548</v>
      </c>
      <c r="AR55" s="100">
        <v>0.7115384615384616</v>
      </c>
      <c r="AS55" s="98">
        <v>338.610780635124</v>
      </c>
      <c r="AT55" s="98">
        <v>292.8525670357829</v>
      </c>
      <c r="AU55" s="98" t="s">
        <v>634</v>
      </c>
      <c r="AV55" s="98">
        <v>375.2173515145969</v>
      </c>
      <c r="AW55" s="98">
        <v>613.1600622311705</v>
      </c>
      <c r="AX55" s="98">
        <v>109.8197126384186</v>
      </c>
      <c r="AY55" s="98">
        <v>658.9182758305116</v>
      </c>
      <c r="AZ55" s="98">
        <v>787.0412739086667</v>
      </c>
      <c r="BA55" s="100" t="s">
        <v>634</v>
      </c>
      <c r="BB55" s="100" t="s">
        <v>634</v>
      </c>
      <c r="BC55" s="100" t="s">
        <v>634</v>
      </c>
      <c r="BD55" s="158">
        <v>0.744943924</v>
      </c>
      <c r="BE55" s="158">
        <v>0.9929293060000001</v>
      </c>
      <c r="BF55" s="162">
        <v>1519</v>
      </c>
      <c r="BG55" s="162">
        <v>15</v>
      </c>
      <c r="BH55" s="162">
        <v>2684</v>
      </c>
      <c r="BI55" s="162">
        <v>1549</v>
      </c>
      <c r="BJ55" s="162">
        <v>930</v>
      </c>
      <c r="BK55" s="97"/>
      <c r="BL55" s="97"/>
      <c r="BM55" s="97"/>
      <c r="BN55" s="97"/>
    </row>
    <row r="56" spans="1:66" ht="12.75">
      <c r="A56" s="79" t="s">
        <v>623</v>
      </c>
      <c r="B56" s="79" t="s">
        <v>359</v>
      </c>
      <c r="C56" s="79" t="s">
        <v>259</v>
      </c>
      <c r="D56" s="99">
        <v>4342</v>
      </c>
      <c r="E56" s="99">
        <v>301</v>
      </c>
      <c r="F56" s="99" t="s">
        <v>387</v>
      </c>
      <c r="G56" s="99">
        <v>14</v>
      </c>
      <c r="H56" s="99">
        <v>11</v>
      </c>
      <c r="I56" s="99">
        <v>63</v>
      </c>
      <c r="J56" s="99">
        <v>238</v>
      </c>
      <c r="K56" s="99" t="s">
        <v>634</v>
      </c>
      <c r="L56" s="99">
        <v>1032</v>
      </c>
      <c r="M56" s="99">
        <v>82</v>
      </c>
      <c r="N56" s="99">
        <v>72</v>
      </c>
      <c r="O56" s="99">
        <v>38</v>
      </c>
      <c r="P56" s="159">
        <v>38</v>
      </c>
      <c r="Q56" s="99" t="s">
        <v>634</v>
      </c>
      <c r="R56" s="99">
        <v>8</v>
      </c>
      <c r="S56" s="99">
        <v>17</v>
      </c>
      <c r="T56" s="99" t="s">
        <v>634</v>
      </c>
      <c r="U56" s="99" t="s">
        <v>634</v>
      </c>
      <c r="V56" s="99">
        <v>8</v>
      </c>
      <c r="W56" s="99">
        <v>21</v>
      </c>
      <c r="X56" s="99">
        <v>11</v>
      </c>
      <c r="Y56" s="99">
        <v>21</v>
      </c>
      <c r="Z56" s="99">
        <v>8</v>
      </c>
      <c r="AA56" s="99" t="s">
        <v>634</v>
      </c>
      <c r="AB56" s="99" t="s">
        <v>634</v>
      </c>
      <c r="AC56" s="99" t="s">
        <v>634</v>
      </c>
      <c r="AD56" s="98" t="s">
        <v>364</v>
      </c>
      <c r="AE56" s="100">
        <v>0.06932289267618609</v>
      </c>
      <c r="AF56" s="100">
        <v>0.05</v>
      </c>
      <c r="AG56" s="98">
        <v>322.4320589590051</v>
      </c>
      <c r="AH56" s="98">
        <v>253.3394748963611</v>
      </c>
      <c r="AI56" s="100">
        <v>0.015</v>
      </c>
      <c r="AJ56" s="100">
        <v>0.721212</v>
      </c>
      <c r="AK56" s="100" t="s">
        <v>634</v>
      </c>
      <c r="AL56" s="100">
        <v>0.840391</v>
      </c>
      <c r="AM56" s="100">
        <v>0.359649</v>
      </c>
      <c r="AN56" s="100">
        <v>0.545455</v>
      </c>
      <c r="AO56" s="98">
        <v>875.1727314601566</v>
      </c>
      <c r="AP56" s="158">
        <v>0.6351913834</v>
      </c>
      <c r="AQ56" s="100" t="s">
        <v>634</v>
      </c>
      <c r="AR56" s="100" t="s">
        <v>634</v>
      </c>
      <c r="AS56" s="98">
        <v>391.524643021649</v>
      </c>
      <c r="AT56" s="98" t="s">
        <v>634</v>
      </c>
      <c r="AU56" s="98" t="s">
        <v>634</v>
      </c>
      <c r="AV56" s="98">
        <v>184.24689083371717</v>
      </c>
      <c r="AW56" s="98">
        <v>483.6480884385076</v>
      </c>
      <c r="AX56" s="98">
        <v>253.3394748963611</v>
      </c>
      <c r="AY56" s="98">
        <v>483.6480884385076</v>
      </c>
      <c r="AZ56" s="98">
        <v>184.24689083371717</v>
      </c>
      <c r="BA56" s="100" t="s">
        <v>634</v>
      </c>
      <c r="BB56" s="100" t="s">
        <v>634</v>
      </c>
      <c r="BC56" s="100" t="s">
        <v>634</v>
      </c>
      <c r="BD56" s="158">
        <v>0.44949924469999997</v>
      </c>
      <c r="BE56" s="158">
        <v>0.871849823</v>
      </c>
      <c r="BF56" s="162">
        <v>330</v>
      </c>
      <c r="BG56" s="162" t="s">
        <v>634</v>
      </c>
      <c r="BH56" s="162">
        <v>1228</v>
      </c>
      <c r="BI56" s="162">
        <v>228</v>
      </c>
      <c r="BJ56" s="162">
        <v>132</v>
      </c>
      <c r="BK56" s="97"/>
      <c r="BL56" s="97"/>
      <c r="BM56" s="97"/>
      <c r="BN56" s="97"/>
    </row>
    <row r="57" spans="1:66" ht="12.75">
      <c r="A57" s="79" t="s">
        <v>573</v>
      </c>
      <c r="B57" s="79" t="s">
        <v>308</v>
      </c>
      <c r="C57" s="79" t="s">
        <v>259</v>
      </c>
      <c r="D57" s="99">
        <v>5871</v>
      </c>
      <c r="E57" s="99">
        <v>807</v>
      </c>
      <c r="F57" s="99" t="s">
        <v>387</v>
      </c>
      <c r="G57" s="99">
        <v>25</v>
      </c>
      <c r="H57" s="99">
        <v>8</v>
      </c>
      <c r="I57" s="99">
        <v>87</v>
      </c>
      <c r="J57" s="99">
        <v>481</v>
      </c>
      <c r="K57" s="99">
        <v>8</v>
      </c>
      <c r="L57" s="99">
        <v>1090</v>
      </c>
      <c r="M57" s="99">
        <v>201</v>
      </c>
      <c r="N57" s="99">
        <v>172</v>
      </c>
      <c r="O57" s="99">
        <v>58</v>
      </c>
      <c r="P57" s="159">
        <v>58</v>
      </c>
      <c r="Q57" s="99">
        <v>8</v>
      </c>
      <c r="R57" s="99">
        <v>15</v>
      </c>
      <c r="S57" s="99">
        <v>17</v>
      </c>
      <c r="T57" s="99">
        <v>9</v>
      </c>
      <c r="U57" s="99" t="s">
        <v>634</v>
      </c>
      <c r="V57" s="99">
        <v>12</v>
      </c>
      <c r="W57" s="99">
        <v>32</v>
      </c>
      <c r="X57" s="99">
        <v>7</v>
      </c>
      <c r="Y57" s="99">
        <v>22</v>
      </c>
      <c r="Z57" s="99">
        <v>17</v>
      </c>
      <c r="AA57" s="99" t="s">
        <v>634</v>
      </c>
      <c r="AB57" s="99" t="s">
        <v>634</v>
      </c>
      <c r="AC57" s="99" t="s">
        <v>634</v>
      </c>
      <c r="AD57" s="98" t="s">
        <v>364</v>
      </c>
      <c r="AE57" s="100">
        <v>0.13745528870720491</v>
      </c>
      <c r="AF57" s="100">
        <v>0.06</v>
      </c>
      <c r="AG57" s="98">
        <v>425.8218361437575</v>
      </c>
      <c r="AH57" s="98">
        <v>136.26298756600238</v>
      </c>
      <c r="AI57" s="100">
        <v>0.015</v>
      </c>
      <c r="AJ57" s="100">
        <v>0.6901</v>
      </c>
      <c r="AK57" s="100">
        <v>0.470588</v>
      </c>
      <c r="AL57" s="100">
        <v>0.742001</v>
      </c>
      <c r="AM57" s="100">
        <v>0.352014</v>
      </c>
      <c r="AN57" s="100">
        <v>0.5</v>
      </c>
      <c r="AO57" s="98">
        <v>987.9066598535173</v>
      </c>
      <c r="AP57" s="158">
        <v>0.5647597122</v>
      </c>
      <c r="AQ57" s="100">
        <v>0.13793103448275862</v>
      </c>
      <c r="AR57" s="100">
        <v>0.5333333333333333</v>
      </c>
      <c r="AS57" s="98">
        <v>289.55884857775504</v>
      </c>
      <c r="AT57" s="98">
        <v>153.2958610117527</v>
      </c>
      <c r="AU57" s="98" t="s">
        <v>634</v>
      </c>
      <c r="AV57" s="98">
        <v>204.39448134900357</v>
      </c>
      <c r="AW57" s="98">
        <v>545.0519502640095</v>
      </c>
      <c r="AX57" s="98">
        <v>119.23011412025208</v>
      </c>
      <c r="AY57" s="98">
        <v>374.7232158065066</v>
      </c>
      <c r="AZ57" s="98">
        <v>289.55884857775504</v>
      </c>
      <c r="BA57" s="100" t="s">
        <v>634</v>
      </c>
      <c r="BB57" s="100" t="s">
        <v>634</v>
      </c>
      <c r="BC57" s="100" t="s">
        <v>634</v>
      </c>
      <c r="BD57" s="158">
        <v>0.4288457108</v>
      </c>
      <c r="BE57" s="158">
        <v>0.7300828552</v>
      </c>
      <c r="BF57" s="162">
        <v>697</v>
      </c>
      <c r="BG57" s="162">
        <v>17</v>
      </c>
      <c r="BH57" s="162">
        <v>1469</v>
      </c>
      <c r="BI57" s="162">
        <v>571</v>
      </c>
      <c r="BJ57" s="162">
        <v>344</v>
      </c>
      <c r="BK57" s="97"/>
      <c r="BL57" s="97"/>
      <c r="BM57" s="97"/>
      <c r="BN57" s="97"/>
    </row>
    <row r="58" spans="1:66" ht="12.75">
      <c r="A58" s="79" t="s">
        <v>606</v>
      </c>
      <c r="B58" s="79" t="s">
        <v>341</v>
      </c>
      <c r="C58" s="79" t="s">
        <v>259</v>
      </c>
      <c r="D58" s="99">
        <v>12263</v>
      </c>
      <c r="E58" s="99">
        <v>2274</v>
      </c>
      <c r="F58" s="99" t="s">
        <v>387</v>
      </c>
      <c r="G58" s="99">
        <v>50</v>
      </c>
      <c r="H58" s="99">
        <v>43</v>
      </c>
      <c r="I58" s="99">
        <v>228</v>
      </c>
      <c r="J58" s="99">
        <v>1257</v>
      </c>
      <c r="K58" s="99">
        <v>1205</v>
      </c>
      <c r="L58" s="99">
        <v>2477</v>
      </c>
      <c r="M58" s="99">
        <v>537</v>
      </c>
      <c r="N58" s="99">
        <v>458</v>
      </c>
      <c r="O58" s="99">
        <v>363</v>
      </c>
      <c r="P58" s="159">
        <v>363</v>
      </c>
      <c r="Q58" s="99">
        <v>45</v>
      </c>
      <c r="R58" s="99">
        <v>71</v>
      </c>
      <c r="S58" s="99">
        <v>69</v>
      </c>
      <c r="T58" s="99">
        <v>70</v>
      </c>
      <c r="U58" s="99">
        <v>13</v>
      </c>
      <c r="V58" s="99">
        <v>70</v>
      </c>
      <c r="W58" s="99">
        <v>109</v>
      </c>
      <c r="X58" s="99">
        <v>29</v>
      </c>
      <c r="Y58" s="99">
        <v>136</v>
      </c>
      <c r="Z58" s="99">
        <v>86</v>
      </c>
      <c r="AA58" s="99" t="s">
        <v>634</v>
      </c>
      <c r="AB58" s="99" t="s">
        <v>634</v>
      </c>
      <c r="AC58" s="99" t="s">
        <v>634</v>
      </c>
      <c r="AD58" s="98" t="s">
        <v>364</v>
      </c>
      <c r="AE58" s="100">
        <v>0.1854358639810813</v>
      </c>
      <c r="AF58" s="100">
        <v>0.08</v>
      </c>
      <c r="AG58" s="98">
        <v>407.73057163826144</v>
      </c>
      <c r="AH58" s="98">
        <v>350.64829160890486</v>
      </c>
      <c r="AI58" s="100">
        <v>0.019</v>
      </c>
      <c r="AJ58" s="100">
        <v>0.829156</v>
      </c>
      <c r="AK58" s="100">
        <v>0.825908</v>
      </c>
      <c r="AL58" s="100">
        <v>0.794674</v>
      </c>
      <c r="AM58" s="100">
        <v>0.391971</v>
      </c>
      <c r="AN58" s="100">
        <v>0.60582</v>
      </c>
      <c r="AO58" s="98">
        <v>2960.123950093778</v>
      </c>
      <c r="AP58" s="158">
        <v>1.4917543029999998</v>
      </c>
      <c r="AQ58" s="100">
        <v>0.12396694214876033</v>
      </c>
      <c r="AR58" s="100">
        <v>0.6338028169014085</v>
      </c>
      <c r="AS58" s="98">
        <v>562.6681888608008</v>
      </c>
      <c r="AT58" s="98">
        <v>570.822800293566</v>
      </c>
      <c r="AU58" s="98">
        <v>106.00994862594797</v>
      </c>
      <c r="AV58" s="98">
        <v>570.822800293566</v>
      </c>
      <c r="AW58" s="98">
        <v>888.8526461714099</v>
      </c>
      <c r="AX58" s="98">
        <v>236.48373155019164</v>
      </c>
      <c r="AY58" s="98">
        <v>1109.027154856071</v>
      </c>
      <c r="AZ58" s="98">
        <v>701.2965832178097</v>
      </c>
      <c r="BA58" s="100" t="s">
        <v>634</v>
      </c>
      <c r="BB58" s="100" t="s">
        <v>634</v>
      </c>
      <c r="BC58" s="100" t="s">
        <v>634</v>
      </c>
      <c r="BD58" s="158">
        <v>1.342224121</v>
      </c>
      <c r="BE58" s="158">
        <v>1.6533885190000002</v>
      </c>
      <c r="BF58" s="162">
        <v>1516</v>
      </c>
      <c r="BG58" s="162">
        <v>1459</v>
      </c>
      <c r="BH58" s="162">
        <v>3117</v>
      </c>
      <c r="BI58" s="162">
        <v>1370</v>
      </c>
      <c r="BJ58" s="162">
        <v>756</v>
      </c>
      <c r="BK58" s="97"/>
      <c r="BL58" s="97"/>
      <c r="BM58" s="97"/>
      <c r="BN58" s="97"/>
    </row>
    <row r="59" spans="1:66" ht="12.75">
      <c r="A59" s="79" t="s">
        <v>626</v>
      </c>
      <c r="B59" s="79" t="s">
        <v>362</v>
      </c>
      <c r="C59" s="79" t="s">
        <v>259</v>
      </c>
      <c r="D59" s="99">
        <v>8222</v>
      </c>
      <c r="E59" s="99">
        <v>519</v>
      </c>
      <c r="F59" s="99" t="s">
        <v>387</v>
      </c>
      <c r="G59" s="99">
        <v>20</v>
      </c>
      <c r="H59" s="99">
        <v>7</v>
      </c>
      <c r="I59" s="99">
        <v>117</v>
      </c>
      <c r="J59" s="99">
        <v>447</v>
      </c>
      <c r="K59" s="99" t="s">
        <v>634</v>
      </c>
      <c r="L59" s="99">
        <v>1993</v>
      </c>
      <c r="M59" s="99">
        <v>131</v>
      </c>
      <c r="N59" s="99">
        <v>154</v>
      </c>
      <c r="O59" s="99">
        <v>143</v>
      </c>
      <c r="P59" s="159">
        <v>143</v>
      </c>
      <c r="Q59" s="99">
        <v>9</v>
      </c>
      <c r="R59" s="99">
        <v>13</v>
      </c>
      <c r="S59" s="99">
        <v>40</v>
      </c>
      <c r="T59" s="99">
        <v>15</v>
      </c>
      <c r="U59" s="99">
        <v>6</v>
      </c>
      <c r="V59" s="99">
        <v>24</v>
      </c>
      <c r="W59" s="99">
        <v>54</v>
      </c>
      <c r="X59" s="99">
        <v>13</v>
      </c>
      <c r="Y59" s="99">
        <v>58</v>
      </c>
      <c r="Z59" s="99">
        <v>29</v>
      </c>
      <c r="AA59" s="99" t="s">
        <v>634</v>
      </c>
      <c r="AB59" s="99" t="s">
        <v>634</v>
      </c>
      <c r="AC59" s="99" t="s">
        <v>634</v>
      </c>
      <c r="AD59" s="98" t="s">
        <v>364</v>
      </c>
      <c r="AE59" s="100">
        <v>0.06312332765750425</v>
      </c>
      <c r="AF59" s="100">
        <v>0.06</v>
      </c>
      <c r="AG59" s="98">
        <v>243.24981756263682</v>
      </c>
      <c r="AH59" s="98">
        <v>85.1374361469229</v>
      </c>
      <c r="AI59" s="100">
        <v>0.013999999999999999</v>
      </c>
      <c r="AJ59" s="100">
        <v>0.699531</v>
      </c>
      <c r="AK59" s="100" t="s">
        <v>634</v>
      </c>
      <c r="AL59" s="100">
        <v>0.835639</v>
      </c>
      <c r="AM59" s="100">
        <v>0.268994</v>
      </c>
      <c r="AN59" s="100">
        <v>0.555957</v>
      </c>
      <c r="AO59" s="98">
        <v>1739.2361955728534</v>
      </c>
      <c r="AP59" s="158">
        <v>1.3189764400000001</v>
      </c>
      <c r="AQ59" s="100">
        <v>0.06293706293706294</v>
      </c>
      <c r="AR59" s="100">
        <v>0.6923076923076923</v>
      </c>
      <c r="AS59" s="98">
        <v>486.49963512527364</v>
      </c>
      <c r="AT59" s="98">
        <v>182.4373631719776</v>
      </c>
      <c r="AU59" s="98">
        <v>72.97494526879105</v>
      </c>
      <c r="AV59" s="98">
        <v>291.8997810751642</v>
      </c>
      <c r="AW59" s="98">
        <v>656.7745074191195</v>
      </c>
      <c r="AX59" s="98">
        <v>158.11238141571394</v>
      </c>
      <c r="AY59" s="98">
        <v>705.4244709316469</v>
      </c>
      <c r="AZ59" s="98">
        <v>352.7122354658234</v>
      </c>
      <c r="BA59" s="100" t="s">
        <v>634</v>
      </c>
      <c r="BB59" s="100" t="s">
        <v>634</v>
      </c>
      <c r="BC59" s="100" t="s">
        <v>634</v>
      </c>
      <c r="BD59" s="158">
        <v>1.111659851</v>
      </c>
      <c r="BE59" s="158">
        <v>1.553735199</v>
      </c>
      <c r="BF59" s="162">
        <v>639</v>
      </c>
      <c r="BG59" s="162" t="s">
        <v>634</v>
      </c>
      <c r="BH59" s="162">
        <v>2385</v>
      </c>
      <c r="BI59" s="162">
        <v>487</v>
      </c>
      <c r="BJ59" s="162">
        <v>277</v>
      </c>
      <c r="BK59" s="97"/>
      <c r="BL59" s="97"/>
      <c r="BM59" s="97"/>
      <c r="BN59" s="97"/>
    </row>
    <row r="60" spans="1:66" ht="12.75">
      <c r="A60" s="79" t="s">
        <v>605</v>
      </c>
      <c r="B60" s="79" t="s">
        <v>340</v>
      </c>
      <c r="C60" s="79" t="s">
        <v>259</v>
      </c>
      <c r="D60" s="99">
        <v>9312</v>
      </c>
      <c r="E60" s="99">
        <v>2088</v>
      </c>
      <c r="F60" s="99" t="s">
        <v>387</v>
      </c>
      <c r="G60" s="99">
        <v>47</v>
      </c>
      <c r="H60" s="99">
        <v>25</v>
      </c>
      <c r="I60" s="99">
        <v>218</v>
      </c>
      <c r="J60" s="99">
        <v>1031</v>
      </c>
      <c r="K60" s="99">
        <v>23</v>
      </c>
      <c r="L60" s="99">
        <v>1793</v>
      </c>
      <c r="M60" s="99">
        <v>452</v>
      </c>
      <c r="N60" s="99">
        <v>394</v>
      </c>
      <c r="O60" s="99">
        <v>294</v>
      </c>
      <c r="P60" s="159">
        <v>294</v>
      </c>
      <c r="Q60" s="99">
        <v>21</v>
      </c>
      <c r="R60" s="99">
        <v>38</v>
      </c>
      <c r="S60" s="99">
        <v>53</v>
      </c>
      <c r="T60" s="99">
        <v>65</v>
      </c>
      <c r="U60" s="99">
        <v>9</v>
      </c>
      <c r="V60" s="99">
        <v>66</v>
      </c>
      <c r="W60" s="99">
        <v>49</v>
      </c>
      <c r="X60" s="99">
        <v>68</v>
      </c>
      <c r="Y60" s="99">
        <v>96</v>
      </c>
      <c r="Z60" s="99">
        <v>41</v>
      </c>
      <c r="AA60" s="99" t="s">
        <v>634</v>
      </c>
      <c r="AB60" s="99" t="s">
        <v>634</v>
      </c>
      <c r="AC60" s="99" t="s">
        <v>634</v>
      </c>
      <c r="AD60" s="98" t="s">
        <v>364</v>
      </c>
      <c r="AE60" s="100">
        <v>0.22422680412371135</v>
      </c>
      <c r="AF60" s="100">
        <v>0.04</v>
      </c>
      <c r="AG60" s="98">
        <v>504.7250859106529</v>
      </c>
      <c r="AH60" s="98">
        <v>268.4707903780069</v>
      </c>
      <c r="AI60" s="100">
        <v>0.023</v>
      </c>
      <c r="AJ60" s="100">
        <v>0.769403</v>
      </c>
      <c r="AK60" s="100">
        <v>0.741935</v>
      </c>
      <c r="AL60" s="100">
        <v>0.828176</v>
      </c>
      <c r="AM60" s="100">
        <v>0.351477</v>
      </c>
      <c r="AN60" s="100">
        <v>0.576867</v>
      </c>
      <c r="AO60" s="98">
        <v>3157.216494845361</v>
      </c>
      <c r="AP60" s="158">
        <v>1.447363129</v>
      </c>
      <c r="AQ60" s="100">
        <v>0.07142857142857142</v>
      </c>
      <c r="AR60" s="100">
        <v>0.5526315789473685</v>
      </c>
      <c r="AS60" s="98">
        <v>569.1580756013745</v>
      </c>
      <c r="AT60" s="98">
        <v>698.0240549828179</v>
      </c>
      <c r="AU60" s="98">
        <v>96.64948453608247</v>
      </c>
      <c r="AV60" s="98">
        <v>708.7628865979382</v>
      </c>
      <c r="AW60" s="98">
        <v>526.2027491408935</v>
      </c>
      <c r="AX60" s="98">
        <v>730.2405498281787</v>
      </c>
      <c r="AY60" s="98">
        <v>1030.9278350515465</v>
      </c>
      <c r="AZ60" s="98">
        <v>440.2920962199313</v>
      </c>
      <c r="BA60" s="100" t="s">
        <v>634</v>
      </c>
      <c r="BB60" s="100" t="s">
        <v>634</v>
      </c>
      <c r="BC60" s="100" t="s">
        <v>634</v>
      </c>
      <c r="BD60" s="158">
        <v>1.286629791</v>
      </c>
      <c r="BE60" s="158">
        <v>1.622624054</v>
      </c>
      <c r="BF60" s="162">
        <v>1340</v>
      </c>
      <c r="BG60" s="162">
        <v>31</v>
      </c>
      <c r="BH60" s="162">
        <v>2165</v>
      </c>
      <c r="BI60" s="162">
        <v>1286</v>
      </c>
      <c r="BJ60" s="162">
        <v>683</v>
      </c>
      <c r="BK60" s="97"/>
      <c r="BL60" s="97"/>
      <c r="BM60" s="97"/>
      <c r="BN60" s="97"/>
    </row>
    <row r="61" spans="1:66" ht="12.75">
      <c r="A61" s="79" t="s">
        <v>604</v>
      </c>
      <c r="B61" s="79" t="s">
        <v>339</v>
      </c>
      <c r="C61" s="79" t="s">
        <v>259</v>
      </c>
      <c r="D61" s="99">
        <v>2604</v>
      </c>
      <c r="E61" s="99">
        <v>448</v>
      </c>
      <c r="F61" s="99" t="s">
        <v>387</v>
      </c>
      <c r="G61" s="99">
        <v>10</v>
      </c>
      <c r="H61" s="99">
        <v>6</v>
      </c>
      <c r="I61" s="99">
        <v>39</v>
      </c>
      <c r="J61" s="99">
        <v>278</v>
      </c>
      <c r="K61" s="99" t="s">
        <v>634</v>
      </c>
      <c r="L61" s="99">
        <v>518</v>
      </c>
      <c r="M61" s="99">
        <v>131</v>
      </c>
      <c r="N61" s="99">
        <v>122</v>
      </c>
      <c r="O61" s="99">
        <v>52</v>
      </c>
      <c r="P61" s="159">
        <v>52</v>
      </c>
      <c r="Q61" s="99">
        <v>6</v>
      </c>
      <c r="R61" s="99">
        <v>11</v>
      </c>
      <c r="S61" s="99">
        <v>11</v>
      </c>
      <c r="T61" s="99">
        <v>10</v>
      </c>
      <c r="U61" s="99" t="s">
        <v>634</v>
      </c>
      <c r="V61" s="99">
        <v>9</v>
      </c>
      <c r="W61" s="99">
        <v>15</v>
      </c>
      <c r="X61" s="99">
        <v>12</v>
      </c>
      <c r="Y61" s="99">
        <v>25</v>
      </c>
      <c r="Z61" s="99">
        <v>18</v>
      </c>
      <c r="AA61" s="99" t="s">
        <v>634</v>
      </c>
      <c r="AB61" s="99" t="s">
        <v>634</v>
      </c>
      <c r="AC61" s="99" t="s">
        <v>634</v>
      </c>
      <c r="AD61" s="98" t="s">
        <v>364</v>
      </c>
      <c r="AE61" s="100">
        <v>0.17204301075268819</v>
      </c>
      <c r="AF61" s="100">
        <v>0.05</v>
      </c>
      <c r="AG61" s="98">
        <v>384.0245775729647</v>
      </c>
      <c r="AH61" s="98">
        <v>230.4147465437788</v>
      </c>
      <c r="AI61" s="100">
        <v>0.015</v>
      </c>
      <c r="AJ61" s="100">
        <v>0.727749</v>
      </c>
      <c r="AK61" s="100" t="s">
        <v>634</v>
      </c>
      <c r="AL61" s="100">
        <v>0.826156</v>
      </c>
      <c r="AM61" s="100">
        <v>0.392216</v>
      </c>
      <c r="AN61" s="100">
        <v>0.635417</v>
      </c>
      <c r="AO61" s="98">
        <v>1996.9278033794162</v>
      </c>
      <c r="AP61" s="158">
        <v>0.9810972594999999</v>
      </c>
      <c r="AQ61" s="100">
        <v>0.11538461538461539</v>
      </c>
      <c r="AR61" s="100">
        <v>0.5454545454545454</v>
      </c>
      <c r="AS61" s="98">
        <v>422.42703533026116</v>
      </c>
      <c r="AT61" s="98">
        <v>384.0245775729647</v>
      </c>
      <c r="AU61" s="98" t="s">
        <v>634</v>
      </c>
      <c r="AV61" s="98">
        <v>345.6221198156682</v>
      </c>
      <c r="AW61" s="98">
        <v>576.036866359447</v>
      </c>
      <c r="AX61" s="98">
        <v>460.8294930875576</v>
      </c>
      <c r="AY61" s="98">
        <v>960.0614439324116</v>
      </c>
      <c r="AZ61" s="98">
        <v>691.2442396313364</v>
      </c>
      <c r="BA61" s="100" t="s">
        <v>634</v>
      </c>
      <c r="BB61" s="100" t="s">
        <v>634</v>
      </c>
      <c r="BC61" s="100" t="s">
        <v>634</v>
      </c>
      <c r="BD61" s="158">
        <v>0.7327303314</v>
      </c>
      <c r="BE61" s="158">
        <v>1.2865785220000001</v>
      </c>
      <c r="BF61" s="162">
        <v>382</v>
      </c>
      <c r="BG61" s="162" t="s">
        <v>634</v>
      </c>
      <c r="BH61" s="162">
        <v>627</v>
      </c>
      <c r="BI61" s="162">
        <v>334</v>
      </c>
      <c r="BJ61" s="162">
        <v>192</v>
      </c>
      <c r="BK61" s="97"/>
      <c r="BL61" s="97"/>
      <c r="BM61" s="97"/>
      <c r="BN61" s="97"/>
    </row>
    <row r="62" spans="1:66" ht="12.75">
      <c r="A62" s="79" t="s">
        <v>564</v>
      </c>
      <c r="B62" s="79" t="s">
        <v>299</v>
      </c>
      <c r="C62" s="79" t="s">
        <v>259</v>
      </c>
      <c r="D62" s="99">
        <v>8397</v>
      </c>
      <c r="E62" s="99">
        <v>1729</v>
      </c>
      <c r="F62" s="99" t="s">
        <v>387</v>
      </c>
      <c r="G62" s="99">
        <v>43</v>
      </c>
      <c r="H62" s="99">
        <v>18</v>
      </c>
      <c r="I62" s="99">
        <v>207</v>
      </c>
      <c r="J62" s="99">
        <v>848</v>
      </c>
      <c r="K62" s="99">
        <v>8</v>
      </c>
      <c r="L62" s="99">
        <v>1748</v>
      </c>
      <c r="M62" s="99">
        <v>400</v>
      </c>
      <c r="N62" s="99">
        <v>370</v>
      </c>
      <c r="O62" s="99">
        <v>268</v>
      </c>
      <c r="P62" s="159">
        <v>268</v>
      </c>
      <c r="Q62" s="99">
        <v>29</v>
      </c>
      <c r="R62" s="99">
        <v>41</v>
      </c>
      <c r="S62" s="99">
        <v>66</v>
      </c>
      <c r="T62" s="99">
        <v>44</v>
      </c>
      <c r="U62" s="99">
        <v>13</v>
      </c>
      <c r="V62" s="99">
        <v>43</v>
      </c>
      <c r="W62" s="99">
        <v>31</v>
      </c>
      <c r="X62" s="99">
        <v>41</v>
      </c>
      <c r="Y62" s="99">
        <v>71</v>
      </c>
      <c r="Z62" s="99">
        <v>30</v>
      </c>
      <c r="AA62" s="99" t="s">
        <v>634</v>
      </c>
      <c r="AB62" s="99" t="s">
        <v>634</v>
      </c>
      <c r="AC62" s="99" t="s">
        <v>634</v>
      </c>
      <c r="AD62" s="98" t="s">
        <v>364</v>
      </c>
      <c r="AE62" s="100">
        <v>0.20590687150172682</v>
      </c>
      <c r="AF62" s="100">
        <v>0.05</v>
      </c>
      <c r="AG62" s="98">
        <v>512.0876503513159</v>
      </c>
      <c r="AH62" s="98">
        <v>214.36227224008576</v>
      </c>
      <c r="AI62" s="100">
        <v>0.025</v>
      </c>
      <c r="AJ62" s="100">
        <v>0.727897</v>
      </c>
      <c r="AK62" s="100">
        <v>0.533333</v>
      </c>
      <c r="AL62" s="100">
        <v>0.850195</v>
      </c>
      <c r="AM62" s="100">
        <v>0.371747</v>
      </c>
      <c r="AN62" s="100">
        <v>0.604575</v>
      </c>
      <c r="AO62" s="98">
        <v>3191.6160533523876</v>
      </c>
      <c r="AP62" s="158">
        <v>1.511614838</v>
      </c>
      <c r="AQ62" s="100">
        <v>0.10820895522388059</v>
      </c>
      <c r="AR62" s="100">
        <v>0.7073170731707317</v>
      </c>
      <c r="AS62" s="98">
        <v>785.9949982136477</v>
      </c>
      <c r="AT62" s="98">
        <v>523.9966654757651</v>
      </c>
      <c r="AU62" s="98">
        <v>154.8171966178397</v>
      </c>
      <c r="AV62" s="98">
        <v>512.0876503513159</v>
      </c>
      <c r="AW62" s="98">
        <v>369.17946885792543</v>
      </c>
      <c r="AX62" s="98">
        <v>488.26962010241755</v>
      </c>
      <c r="AY62" s="98">
        <v>845.5400738358937</v>
      </c>
      <c r="AZ62" s="98">
        <v>357.27045373347624</v>
      </c>
      <c r="BA62" s="100" t="s">
        <v>634</v>
      </c>
      <c r="BB62" s="100" t="s">
        <v>634</v>
      </c>
      <c r="BC62" s="100" t="s">
        <v>634</v>
      </c>
      <c r="BD62" s="158">
        <v>1.336038513</v>
      </c>
      <c r="BE62" s="158">
        <v>1.703850708</v>
      </c>
      <c r="BF62" s="162">
        <v>1165</v>
      </c>
      <c r="BG62" s="162">
        <v>15</v>
      </c>
      <c r="BH62" s="162">
        <v>2056</v>
      </c>
      <c r="BI62" s="162">
        <v>1076</v>
      </c>
      <c r="BJ62" s="162">
        <v>612</v>
      </c>
      <c r="BK62" s="97"/>
      <c r="BL62" s="97"/>
      <c r="BM62" s="97"/>
      <c r="BN62" s="97"/>
    </row>
    <row r="63" spans="1:66" ht="12.75">
      <c r="A63" s="79" t="s">
        <v>620</v>
      </c>
      <c r="B63" s="79" t="s">
        <v>356</v>
      </c>
      <c r="C63" s="79" t="s">
        <v>259</v>
      </c>
      <c r="D63" s="99">
        <v>3810</v>
      </c>
      <c r="E63" s="99">
        <v>357</v>
      </c>
      <c r="F63" s="99" t="s">
        <v>385</v>
      </c>
      <c r="G63" s="99" t="s">
        <v>634</v>
      </c>
      <c r="H63" s="99" t="s">
        <v>634</v>
      </c>
      <c r="I63" s="99">
        <v>44</v>
      </c>
      <c r="J63" s="99">
        <v>158</v>
      </c>
      <c r="K63" s="99" t="s">
        <v>634</v>
      </c>
      <c r="L63" s="99">
        <v>758</v>
      </c>
      <c r="M63" s="99">
        <v>51</v>
      </c>
      <c r="N63" s="99">
        <v>58</v>
      </c>
      <c r="O63" s="99">
        <v>47</v>
      </c>
      <c r="P63" s="159">
        <v>47</v>
      </c>
      <c r="Q63" s="99">
        <v>7</v>
      </c>
      <c r="R63" s="99">
        <v>12</v>
      </c>
      <c r="S63" s="99">
        <v>8</v>
      </c>
      <c r="T63" s="99">
        <v>13</v>
      </c>
      <c r="U63" s="99" t="s">
        <v>634</v>
      </c>
      <c r="V63" s="99">
        <v>7</v>
      </c>
      <c r="W63" s="99">
        <v>19</v>
      </c>
      <c r="X63" s="99" t="s">
        <v>634</v>
      </c>
      <c r="Y63" s="99">
        <v>26</v>
      </c>
      <c r="Z63" s="99">
        <v>10</v>
      </c>
      <c r="AA63" s="99" t="s">
        <v>634</v>
      </c>
      <c r="AB63" s="99" t="s">
        <v>634</v>
      </c>
      <c r="AC63" s="99" t="s">
        <v>634</v>
      </c>
      <c r="AD63" s="98" t="s">
        <v>364</v>
      </c>
      <c r="AE63" s="100">
        <v>0.09370078740157481</v>
      </c>
      <c r="AF63" s="100">
        <v>0.1</v>
      </c>
      <c r="AG63" s="98" t="s">
        <v>634</v>
      </c>
      <c r="AH63" s="98" t="s">
        <v>634</v>
      </c>
      <c r="AI63" s="100">
        <v>0.012</v>
      </c>
      <c r="AJ63" s="100">
        <v>0.568345</v>
      </c>
      <c r="AK63" s="100" t="s">
        <v>634</v>
      </c>
      <c r="AL63" s="100">
        <v>0.710403</v>
      </c>
      <c r="AM63" s="100">
        <v>0.22973</v>
      </c>
      <c r="AN63" s="100">
        <v>0.417266</v>
      </c>
      <c r="AO63" s="98">
        <v>1233.5958005249345</v>
      </c>
      <c r="AP63" s="158">
        <v>0.8593225098</v>
      </c>
      <c r="AQ63" s="100">
        <v>0.14893617021276595</v>
      </c>
      <c r="AR63" s="100">
        <v>0.5833333333333334</v>
      </c>
      <c r="AS63" s="98">
        <v>209.9737532808399</v>
      </c>
      <c r="AT63" s="98">
        <v>341.20734908136484</v>
      </c>
      <c r="AU63" s="98" t="s">
        <v>634</v>
      </c>
      <c r="AV63" s="98">
        <v>183.7270341207349</v>
      </c>
      <c r="AW63" s="98">
        <v>498.68766404199476</v>
      </c>
      <c r="AX63" s="98" t="s">
        <v>634</v>
      </c>
      <c r="AY63" s="98">
        <v>682.4146981627297</v>
      </c>
      <c r="AZ63" s="98">
        <v>262.4671916010499</v>
      </c>
      <c r="BA63" s="100" t="s">
        <v>634</v>
      </c>
      <c r="BB63" s="100" t="s">
        <v>634</v>
      </c>
      <c r="BC63" s="100" t="s">
        <v>634</v>
      </c>
      <c r="BD63" s="158">
        <v>0.6313978577</v>
      </c>
      <c r="BE63" s="158">
        <v>1.142716827</v>
      </c>
      <c r="BF63" s="162">
        <v>278</v>
      </c>
      <c r="BG63" s="162" t="s">
        <v>634</v>
      </c>
      <c r="BH63" s="162">
        <v>1067</v>
      </c>
      <c r="BI63" s="162">
        <v>222</v>
      </c>
      <c r="BJ63" s="162">
        <v>139</v>
      </c>
      <c r="BK63" s="97"/>
      <c r="BL63" s="97"/>
      <c r="BM63" s="97"/>
      <c r="BN63" s="97"/>
    </row>
    <row r="64" spans="1:66" ht="12.75">
      <c r="A64" s="79" t="s">
        <v>558</v>
      </c>
      <c r="B64" s="79" t="s">
        <v>293</v>
      </c>
      <c r="C64" s="79" t="s">
        <v>259</v>
      </c>
      <c r="D64" s="99">
        <v>17631</v>
      </c>
      <c r="E64" s="99">
        <v>618</v>
      </c>
      <c r="F64" s="99" t="s">
        <v>385</v>
      </c>
      <c r="G64" s="99">
        <v>33</v>
      </c>
      <c r="H64" s="99">
        <v>13</v>
      </c>
      <c r="I64" s="99">
        <v>75</v>
      </c>
      <c r="J64" s="99">
        <v>331</v>
      </c>
      <c r="K64" s="99" t="s">
        <v>634</v>
      </c>
      <c r="L64" s="99">
        <v>1794</v>
      </c>
      <c r="M64" s="99">
        <v>108</v>
      </c>
      <c r="N64" s="99">
        <v>115</v>
      </c>
      <c r="O64" s="99">
        <v>130</v>
      </c>
      <c r="P64" s="159">
        <v>130</v>
      </c>
      <c r="Q64" s="99">
        <v>10</v>
      </c>
      <c r="R64" s="99">
        <v>23</v>
      </c>
      <c r="S64" s="99">
        <v>28</v>
      </c>
      <c r="T64" s="99">
        <v>13</v>
      </c>
      <c r="U64" s="99">
        <v>6</v>
      </c>
      <c r="V64" s="99">
        <v>42</v>
      </c>
      <c r="W64" s="99">
        <v>49</v>
      </c>
      <c r="X64" s="99">
        <v>12</v>
      </c>
      <c r="Y64" s="99">
        <v>56</v>
      </c>
      <c r="Z64" s="99">
        <v>36</v>
      </c>
      <c r="AA64" s="99" t="s">
        <v>634</v>
      </c>
      <c r="AB64" s="99" t="s">
        <v>634</v>
      </c>
      <c r="AC64" s="99" t="s">
        <v>634</v>
      </c>
      <c r="AD64" s="98" t="s">
        <v>364</v>
      </c>
      <c r="AE64" s="100">
        <v>0.03505189722647609</v>
      </c>
      <c r="AF64" s="100">
        <v>0.1</v>
      </c>
      <c r="AG64" s="98">
        <v>187.17032499574614</v>
      </c>
      <c r="AH64" s="98">
        <v>73.73376439226362</v>
      </c>
      <c r="AI64" s="100">
        <v>0.004</v>
      </c>
      <c r="AJ64" s="100">
        <v>0.583774</v>
      </c>
      <c r="AK64" s="100" t="s">
        <v>634</v>
      </c>
      <c r="AL64" s="100">
        <v>0.622053</v>
      </c>
      <c r="AM64" s="100">
        <v>0.246014</v>
      </c>
      <c r="AN64" s="100">
        <v>0.440613</v>
      </c>
      <c r="AO64" s="98">
        <v>737.3376439226363</v>
      </c>
      <c r="AP64" s="158">
        <v>0.8328497314000001</v>
      </c>
      <c r="AQ64" s="100">
        <v>0.07692307692307693</v>
      </c>
      <c r="AR64" s="100">
        <v>0.43478260869565216</v>
      </c>
      <c r="AS64" s="98">
        <v>158.8111848448755</v>
      </c>
      <c r="AT64" s="98">
        <v>73.73376439226362</v>
      </c>
      <c r="AU64" s="98">
        <v>34.03096818104475</v>
      </c>
      <c r="AV64" s="98">
        <v>238.21677726731326</v>
      </c>
      <c r="AW64" s="98">
        <v>277.91957347853213</v>
      </c>
      <c r="AX64" s="98">
        <v>68.0619363620895</v>
      </c>
      <c r="AY64" s="98">
        <v>317.622369689751</v>
      </c>
      <c r="AZ64" s="98">
        <v>204.1858090862685</v>
      </c>
      <c r="BA64" s="100" t="s">
        <v>634</v>
      </c>
      <c r="BB64" s="100" t="s">
        <v>634</v>
      </c>
      <c r="BC64" s="100" t="s">
        <v>634</v>
      </c>
      <c r="BD64" s="158">
        <v>0.6958437347</v>
      </c>
      <c r="BE64" s="158">
        <v>0.9889414215</v>
      </c>
      <c r="BF64" s="162">
        <v>567</v>
      </c>
      <c r="BG64" s="162" t="s">
        <v>634</v>
      </c>
      <c r="BH64" s="162">
        <v>2884</v>
      </c>
      <c r="BI64" s="162">
        <v>439</v>
      </c>
      <c r="BJ64" s="162">
        <v>261</v>
      </c>
      <c r="BK64" s="97"/>
      <c r="BL64" s="97"/>
      <c r="BM64" s="97"/>
      <c r="BN64" s="97"/>
    </row>
    <row r="65" spans="1:66" ht="12.75">
      <c r="A65" s="79" t="s">
        <v>601</v>
      </c>
      <c r="B65" s="79" t="s">
        <v>336</v>
      </c>
      <c r="C65" s="79" t="s">
        <v>259</v>
      </c>
      <c r="D65" s="99">
        <v>4008</v>
      </c>
      <c r="E65" s="99">
        <v>398</v>
      </c>
      <c r="F65" s="99" t="s">
        <v>385</v>
      </c>
      <c r="G65" s="99">
        <v>14</v>
      </c>
      <c r="H65" s="99">
        <v>8</v>
      </c>
      <c r="I65" s="99">
        <v>50</v>
      </c>
      <c r="J65" s="99">
        <v>248</v>
      </c>
      <c r="K65" s="99" t="s">
        <v>634</v>
      </c>
      <c r="L65" s="99">
        <v>666</v>
      </c>
      <c r="M65" s="99">
        <v>90</v>
      </c>
      <c r="N65" s="99">
        <v>95</v>
      </c>
      <c r="O65" s="99">
        <v>68</v>
      </c>
      <c r="P65" s="159">
        <v>68</v>
      </c>
      <c r="Q65" s="99" t="s">
        <v>634</v>
      </c>
      <c r="R65" s="99">
        <v>10</v>
      </c>
      <c r="S65" s="99">
        <v>12</v>
      </c>
      <c r="T65" s="99">
        <v>13</v>
      </c>
      <c r="U65" s="99" t="s">
        <v>634</v>
      </c>
      <c r="V65" s="99">
        <v>20</v>
      </c>
      <c r="W65" s="99">
        <v>20</v>
      </c>
      <c r="X65" s="99">
        <v>7</v>
      </c>
      <c r="Y65" s="99">
        <v>31</v>
      </c>
      <c r="Z65" s="99">
        <v>12</v>
      </c>
      <c r="AA65" s="99" t="s">
        <v>634</v>
      </c>
      <c r="AB65" s="99" t="s">
        <v>634</v>
      </c>
      <c r="AC65" s="99" t="s">
        <v>634</v>
      </c>
      <c r="AD65" s="98" t="s">
        <v>364</v>
      </c>
      <c r="AE65" s="100">
        <v>0.09930139720558882</v>
      </c>
      <c r="AF65" s="100">
        <v>0.11</v>
      </c>
      <c r="AG65" s="98">
        <v>349.30139720558884</v>
      </c>
      <c r="AH65" s="98">
        <v>199.6007984031936</v>
      </c>
      <c r="AI65" s="100">
        <v>0.012</v>
      </c>
      <c r="AJ65" s="100">
        <v>0.637532</v>
      </c>
      <c r="AK65" s="100" t="s">
        <v>634</v>
      </c>
      <c r="AL65" s="100">
        <v>0.686598</v>
      </c>
      <c r="AM65" s="100">
        <v>0.262391</v>
      </c>
      <c r="AN65" s="100">
        <v>0.465686</v>
      </c>
      <c r="AO65" s="98">
        <v>1696.6067864271456</v>
      </c>
      <c r="AP65" s="158">
        <v>1.156457596</v>
      </c>
      <c r="AQ65" s="100" t="s">
        <v>634</v>
      </c>
      <c r="AR65" s="100" t="s">
        <v>634</v>
      </c>
      <c r="AS65" s="98">
        <v>299.4011976047904</v>
      </c>
      <c r="AT65" s="98">
        <v>324.3512974051896</v>
      </c>
      <c r="AU65" s="98" t="s">
        <v>634</v>
      </c>
      <c r="AV65" s="98">
        <v>499.001996007984</v>
      </c>
      <c r="AW65" s="98">
        <v>499.001996007984</v>
      </c>
      <c r="AX65" s="98">
        <v>174.65069860279442</v>
      </c>
      <c r="AY65" s="98">
        <v>773.4530938123753</v>
      </c>
      <c r="AZ65" s="98">
        <v>299.4011976047904</v>
      </c>
      <c r="BA65" s="100" t="s">
        <v>634</v>
      </c>
      <c r="BB65" s="100" t="s">
        <v>634</v>
      </c>
      <c r="BC65" s="100" t="s">
        <v>634</v>
      </c>
      <c r="BD65" s="158">
        <v>0.8980345917</v>
      </c>
      <c r="BE65" s="158">
        <v>1.46608551</v>
      </c>
      <c r="BF65" s="162">
        <v>389</v>
      </c>
      <c r="BG65" s="162" t="s">
        <v>634</v>
      </c>
      <c r="BH65" s="162">
        <v>970</v>
      </c>
      <c r="BI65" s="162">
        <v>343</v>
      </c>
      <c r="BJ65" s="162">
        <v>204</v>
      </c>
      <c r="BK65" s="97"/>
      <c r="BL65" s="97"/>
      <c r="BM65" s="97"/>
      <c r="BN65" s="97"/>
    </row>
    <row r="66" spans="1:66" ht="12.75">
      <c r="A66" s="79" t="s">
        <v>557</v>
      </c>
      <c r="B66" s="79" t="s">
        <v>292</v>
      </c>
      <c r="C66" s="79" t="s">
        <v>259</v>
      </c>
      <c r="D66" s="99">
        <v>12601</v>
      </c>
      <c r="E66" s="99">
        <v>1431</v>
      </c>
      <c r="F66" s="99" t="s">
        <v>387</v>
      </c>
      <c r="G66" s="99">
        <v>56</v>
      </c>
      <c r="H66" s="99">
        <v>24</v>
      </c>
      <c r="I66" s="99">
        <v>218</v>
      </c>
      <c r="J66" s="99">
        <v>740</v>
      </c>
      <c r="K66" s="99">
        <v>12</v>
      </c>
      <c r="L66" s="99">
        <v>1719</v>
      </c>
      <c r="M66" s="99">
        <v>345</v>
      </c>
      <c r="N66" s="99">
        <v>308</v>
      </c>
      <c r="O66" s="99">
        <v>215</v>
      </c>
      <c r="P66" s="159">
        <v>215</v>
      </c>
      <c r="Q66" s="99">
        <v>26</v>
      </c>
      <c r="R66" s="99">
        <v>43</v>
      </c>
      <c r="S66" s="99">
        <v>35</v>
      </c>
      <c r="T66" s="99">
        <v>34</v>
      </c>
      <c r="U66" s="99">
        <v>7</v>
      </c>
      <c r="V66" s="99">
        <v>50</v>
      </c>
      <c r="W66" s="99">
        <v>55</v>
      </c>
      <c r="X66" s="99">
        <v>18</v>
      </c>
      <c r="Y66" s="99">
        <v>59</v>
      </c>
      <c r="Z66" s="99">
        <v>70</v>
      </c>
      <c r="AA66" s="99" t="s">
        <v>634</v>
      </c>
      <c r="AB66" s="99" t="s">
        <v>634</v>
      </c>
      <c r="AC66" s="99" t="s">
        <v>634</v>
      </c>
      <c r="AD66" s="98" t="s">
        <v>364</v>
      </c>
      <c r="AE66" s="100">
        <v>0.11356241568129513</v>
      </c>
      <c r="AF66" s="100">
        <v>0.05</v>
      </c>
      <c r="AG66" s="98">
        <v>444.40917387508927</v>
      </c>
      <c r="AH66" s="98">
        <v>190.4610745178954</v>
      </c>
      <c r="AI66" s="100">
        <v>0.017</v>
      </c>
      <c r="AJ66" s="100">
        <v>0.687094</v>
      </c>
      <c r="AK66" s="100">
        <v>0.545455</v>
      </c>
      <c r="AL66" s="100">
        <v>0.674647</v>
      </c>
      <c r="AM66" s="100">
        <v>0.360502</v>
      </c>
      <c r="AN66" s="100">
        <v>0.565138</v>
      </c>
      <c r="AO66" s="98">
        <v>1706.2137925561462</v>
      </c>
      <c r="AP66" s="158">
        <v>1.1932756039999999</v>
      </c>
      <c r="AQ66" s="100">
        <v>0.12093023255813953</v>
      </c>
      <c r="AR66" s="100">
        <v>0.6046511627906976</v>
      </c>
      <c r="AS66" s="98">
        <v>277.7557336719308</v>
      </c>
      <c r="AT66" s="98">
        <v>269.81985556701846</v>
      </c>
      <c r="AU66" s="98">
        <v>55.55114673438616</v>
      </c>
      <c r="AV66" s="98">
        <v>396.7939052456154</v>
      </c>
      <c r="AW66" s="98">
        <v>436.47329577017695</v>
      </c>
      <c r="AX66" s="98">
        <v>142.84580588842155</v>
      </c>
      <c r="AY66" s="98">
        <v>468.2168081898262</v>
      </c>
      <c r="AZ66" s="98">
        <v>555.5114673438616</v>
      </c>
      <c r="BA66" s="100" t="s">
        <v>634</v>
      </c>
      <c r="BB66" s="100" t="s">
        <v>634</v>
      </c>
      <c r="BC66" s="100" t="s">
        <v>634</v>
      </c>
      <c r="BD66" s="158">
        <v>1.039092407</v>
      </c>
      <c r="BE66" s="158">
        <v>1.363889771</v>
      </c>
      <c r="BF66" s="162">
        <v>1077</v>
      </c>
      <c r="BG66" s="162">
        <v>22</v>
      </c>
      <c r="BH66" s="162">
        <v>2548</v>
      </c>
      <c r="BI66" s="162">
        <v>957</v>
      </c>
      <c r="BJ66" s="162">
        <v>545</v>
      </c>
      <c r="BK66" s="97"/>
      <c r="BL66" s="97"/>
      <c r="BM66" s="97"/>
      <c r="BN66" s="97"/>
    </row>
    <row r="67" spans="1:66" ht="12.75">
      <c r="A67" s="79" t="s">
        <v>554</v>
      </c>
      <c r="B67" s="79" t="s">
        <v>288</v>
      </c>
      <c r="C67" s="79" t="s">
        <v>259</v>
      </c>
      <c r="D67" s="99">
        <v>8093</v>
      </c>
      <c r="E67" s="99">
        <v>1369</v>
      </c>
      <c r="F67" s="99" t="s">
        <v>386</v>
      </c>
      <c r="G67" s="99">
        <v>57</v>
      </c>
      <c r="H67" s="99">
        <v>22</v>
      </c>
      <c r="I67" s="99">
        <v>119</v>
      </c>
      <c r="J67" s="99">
        <v>642</v>
      </c>
      <c r="K67" s="99">
        <v>8</v>
      </c>
      <c r="L67" s="99">
        <v>1466</v>
      </c>
      <c r="M67" s="99">
        <v>224</v>
      </c>
      <c r="N67" s="99">
        <v>253</v>
      </c>
      <c r="O67" s="99">
        <v>92</v>
      </c>
      <c r="P67" s="159">
        <v>92</v>
      </c>
      <c r="Q67" s="99">
        <v>10</v>
      </c>
      <c r="R67" s="99">
        <v>19</v>
      </c>
      <c r="S67" s="99">
        <v>27</v>
      </c>
      <c r="T67" s="99">
        <v>11</v>
      </c>
      <c r="U67" s="99">
        <v>8</v>
      </c>
      <c r="V67" s="99">
        <v>15</v>
      </c>
      <c r="W67" s="99">
        <v>30</v>
      </c>
      <c r="X67" s="99">
        <v>11</v>
      </c>
      <c r="Y67" s="99">
        <v>52</v>
      </c>
      <c r="Z67" s="99">
        <v>66</v>
      </c>
      <c r="AA67" s="99" t="s">
        <v>634</v>
      </c>
      <c r="AB67" s="99" t="s">
        <v>634</v>
      </c>
      <c r="AC67" s="99" t="s">
        <v>634</v>
      </c>
      <c r="AD67" s="98" t="s">
        <v>364</v>
      </c>
      <c r="AE67" s="100">
        <v>0.16915853206474732</v>
      </c>
      <c r="AF67" s="100">
        <v>0.14</v>
      </c>
      <c r="AG67" s="98">
        <v>704.3123687137032</v>
      </c>
      <c r="AH67" s="98">
        <v>271.8398616087977</v>
      </c>
      <c r="AI67" s="100">
        <v>0.015</v>
      </c>
      <c r="AJ67" s="100">
        <v>0.714922</v>
      </c>
      <c r="AK67" s="100">
        <v>0.444444</v>
      </c>
      <c r="AL67" s="100">
        <v>0.739284</v>
      </c>
      <c r="AM67" s="100">
        <v>0.270859</v>
      </c>
      <c r="AN67" s="100">
        <v>0.519507</v>
      </c>
      <c r="AO67" s="98">
        <v>1136.7848758186087</v>
      </c>
      <c r="AP67" s="158">
        <v>0.619538269</v>
      </c>
      <c r="AQ67" s="100">
        <v>0.10869565217391304</v>
      </c>
      <c r="AR67" s="100">
        <v>0.5263157894736842</v>
      </c>
      <c r="AS67" s="98">
        <v>333.6216483380699</v>
      </c>
      <c r="AT67" s="98">
        <v>135.91993080439886</v>
      </c>
      <c r="AU67" s="98">
        <v>98.85085876683554</v>
      </c>
      <c r="AV67" s="98">
        <v>185.34536018781662</v>
      </c>
      <c r="AW67" s="98">
        <v>370.69072037563325</v>
      </c>
      <c r="AX67" s="98">
        <v>135.91993080439886</v>
      </c>
      <c r="AY67" s="98">
        <v>642.530581984431</v>
      </c>
      <c r="AZ67" s="98">
        <v>815.5195848263932</v>
      </c>
      <c r="BA67" s="100" t="s">
        <v>634</v>
      </c>
      <c r="BB67" s="100" t="s">
        <v>634</v>
      </c>
      <c r="BC67" s="100" t="s">
        <v>634</v>
      </c>
      <c r="BD67" s="158">
        <v>0.49943531040000005</v>
      </c>
      <c r="BE67" s="158">
        <v>0.7598087311</v>
      </c>
      <c r="BF67" s="162">
        <v>898</v>
      </c>
      <c r="BG67" s="162">
        <v>18</v>
      </c>
      <c r="BH67" s="162">
        <v>1983</v>
      </c>
      <c r="BI67" s="162">
        <v>827</v>
      </c>
      <c r="BJ67" s="162">
        <v>487</v>
      </c>
      <c r="BK67" s="97"/>
      <c r="BL67" s="97"/>
      <c r="BM67" s="97"/>
      <c r="BN67" s="97"/>
    </row>
    <row r="68" spans="1:66" ht="12.75">
      <c r="A68" s="79" t="s">
        <v>596</v>
      </c>
      <c r="B68" s="79" t="s">
        <v>331</v>
      </c>
      <c r="C68" s="79" t="s">
        <v>259</v>
      </c>
      <c r="D68" s="99">
        <v>11291</v>
      </c>
      <c r="E68" s="99">
        <v>1778</v>
      </c>
      <c r="F68" s="99" t="s">
        <v>387</v>
      </c>
      <c r="G68" s="99">
        <v>50</v>
      </c>
      <c r="H68" s="99">
        <v>22</v>
      </c>
      <c r="I68" s="99">
        <v>218</v>
      </c>
      <c r="J68" s="99">
        <v>925</v>
      </c>
      <c r="K68" s="99">
        <v>9</v>
      </c>
      <c r="L68" s="99">
        <v>2215</v>
      </c>
      <c r="M68" s="99">
        <v>378</v>
      </c>
      <c r="N68" s="99">
        <v>400</v>
      </c>
      <c r="O68" s="99">
        <v>189</v>
      </c>
      <c r="P68" s="159">
        <v>189</v>
      </c>
      <c r="Q68" s="99">
        <v>27</v>
      </c>
      <c r="R68" s="99">
        <v>40</v>
      </c>
      <c r="S68" s="99">
        <v>37</v>
      </c>
      <c r="T68" s="99">
        <v>26</v>
      </c>
      <c r="U68" s="99">
        <v>6</v>
      </c>
      <c r="V68" s="99">
        <v>35</v>
      </c>
      <c r="W68" s="99">
        <v>84</v>
      </c>
      <c r="X68" s="99">
        <v>16</v>
      </c>
      <c r="Y68" s="99">
        <v>93</v>
      </c>
      <c r="Z68" s="99">
        <v>52</v>
      </c>
      <c r="AA68" s="99" t="s">
        <v>634</v>
      </c>
      <c r="AB68" s="99" t="s">
        <v>634</v>
      </c>
      <c r="AC68" s="99" t="s">
        <v>634</v>
      </c>
      <c r="AD68" s="98" t="s">
        <v>364</v>
      </c>
      <c r="AE68" s="100">
        <v>0.15747055176689398</v>
      </c>
      <c r="AF68" s="100">
        <v>0.08</v>
      </c>
      <c r="AG68" s="98">
        <v>442.8305730227615</v>
      </c>
      <c r="AH68" s="98">
        <v>194.84545213001505</v>
      </c>
      <c r="AI68" s="100">
        <v>0.019</v>
      </c>
      <c r="AJ68" s="100">
        <v>0.718168</v>
      </c>
      <c r="AK68" s="100">
        <v>0.428571</v>
      </c>
      <c r="AL68" s="100">
        <v>0.756748</v>
      </c>
      <c r="AM68" s="100">
        <v>0.31738</v>
      </c>
      <c r="AN68" s="100">
        <v>0.56101</v>
      </c>
      <c r="AO68" s="98">
        <v>1673.8995660260384</v>
      </c>
      <c r="AP68" s="158">
        <v>0.9236816406</v>
      </c>
      <c r="AQ68" s="100">
        <v>0.14285714285714285</v>
      </c>
      <c r="AR68" s="100">
        <v>0.675</v>
      </c>
      <c r="AS68" s="98">
        <v>327.6946240368435</v>
      </c>
      <c r="AT68" s="98">
        <v>230.27189797183598</v>
      </c>
      <c r="AU68" s="98">
        <v>53.13966876273138</v>
      </c>
      <c r="AV68" s="98">
        <v>309.98140111593307</v>
      </c>
      <c r="AW68" s="98">
        <v>743.9553626782393</v>
      </c>
      <c r="AX68" s="98">
        <v>141.7057833672837</v>
      </c>
      <c r="AY68" s="98">
        <v>823.6648658223364</v>
      </c>
      <c r="AZ68" s="98">
        <v>460.54379594367197</v>
      </c>
      <c r="BA68" s="100" t="s">
        <v>634</v>
      </c>
      <c r="BB68" s="100" t="s">
        <v>634</v>
      </c>
      <c r="BC68" s="100" t="s">
        <v>634</v>
      </c>
      <c r="BD68" s="158">
        <v>0.7966838837</v>
      </c>
      <c r="BE68" s="158">
        <v>1.065168991</v>
      </c>
      <c r="BF68" s="162">
        <v>1288</v>
      </c>
      <c r="BG68" s="162">
        <v>21</v>
      </c>
      <c r="BH68" s="162">
        <v>2927</v>
      </c>
      <c r="BI68" s="162">
        <v>1191</v>
      </c>
      <c r="BJ68" s="162">
        <v>713</v>
      </c>
      <c r="BK68" s="97"/>
      <c r="BL68" s="97"/>
      <c r="BM68" s="97"/>
      <c r="BN68" s="97"/>
    </row>
    <row r="69" spans="1:66" ht="12.75">
      <c r="A69" s="79" t="s">
        <v>579</v>
      </c>
      <c r="B69" s="79" t="s">
        <v>314</v>
      </c>
      <c r="C69" s="79" t="s">
        <v>259</v>
      </c>
      <c r="D69" s="99">
        <v>9007</v>
      </c>
      <c r="E69" s="99">
        <v>1849</v>
      </c>
      <c r="F69" s="99" t="s">
        <v>387</v>
      </c>
      <c r="G69" s="99">
        <v>41</v>
      </c>
      <c r="H69" s="99">
        <v>23</v>
      </c>
      <c r="I69" s="99">
        <v>196</v>
      </c>
      <c r="J69" s="99">
        <v>887</v>
      </c>
      <c r="K69" s="99">
        <v>11</v>
      </c>
      <c r="L69" s="99">
        <v>1787</v>
      </c>
      <c r="M69" s="99">
        <v>461</v>
      </c>
      <c r="N69" s="99">
        <v>416</v>
      </c>
      <c r="O69" s="99">
        <v>199</v>
      </c>
      <c r="P69" s="159">
        <v>199</v>
      </c>
      <c r="Q69" s="99">
        <v>19</v>
      </c>
      <c r="R69" s="99">
        <v>36</v>
      </c>
      <c r="S69" s="99">
        <v>63</v>
      </c>
      <c r="T69" s="99">
        <v>30</v>
      </c>
      <c r="U69" s="99">
        <v>7</v>
      </c>
      <c r="V69" s="99">
        <v>24</v>
      </c>
      <c r="W69" s="99">
        <v>26</v>
      </c>
      <c r="X69" s="99">
        <v>32</v>
      </c>
      <c r="Y69" s="99">
        <v>41</v>
      </c>
      <c r="Z69" s="99">
        <v>51</v>
      </c>
      <c r="AA69" s="99" t="s">
        <v>634</v>
      </c>
      <c r="AB69" s="99" t="s">
        <v>634</v>
      </c>
      <c r="AC69" s="99" t="s">
        <v>634</v>
      </c>
      <c r="AD69" s="98" t="s">
        <v>364</v>
      </c>
      <c r="AE69" s="100">
        <v>0.20528477850560675</v>
      </c>
      <c r="AF69" s="100">
        <v>0.06</v>
      </c>
      <c r="AG69" s="98">
        <v>455.20150993671587</v>
      </c>
      <c r="AH69" s="98">
        <v>255.3569445986455</v>
      </c>
      <c r="AI69" s="100">
        <v>0.022000000000000002</v>
      </c>
      <c r="AJ69" s="100">
        <v>0.700632</v>
      </c>
      <c r="AK69" s="100">
        <v>0.611111</v>
      </c>
      <c r="AL69" s="100">
        <v>0.76531</v>
      </c>
      <c r="AM69" s="100">
        <v>0.372074</v>
      </c>
      <c r="AN69" s="100">
        <v>0.59175</v>
      </c>
      <c r="AO69" s="98">
        <v>2209.3926945708895</v>
      </c>
      <c r="AP69" s="158">
        <v>1.067213593</v>
      </c>
      <c r="AQ69" s="100">
        <v>0.09547738693467336</v>
      </c>
      <c r="AR69" s="100">
        <v>0.5277777777777778</v>
      </c>
      <c r="AS69" s="98">
        <v>699.4559786832464</v>
      </c>
      <c r="AT69" s="98">
        <v>333.07427556345067</v>
      </c>
      <c r="AU69" s="98">
        <v>77.71733096480516</v>
      </c>
      <c r="AV69" s="98">
        <v>266.45942045076055</v>
      </c>
      <c r="AW69" s="98">
        <v>288.6643721549906</v>
      </c>
      <c r="AX69" s="98">
        <v>355.2792272676807</v>
      </c>
      <c r="AY69" s="98">
        <v>455.20150993671587</v>
      </c>
      <c r="AZ69" s="98">
        <v>566.2262684578661</v>
      </c>
      <c r="BA69" s="100" t="s">
        <v>634</v>
      </c>
      <c r="BB69" s="100" t="s">
        <v>634</v>
      </c>
      <c r="BC69" s="100" t="s">
        <v>634</v>
      </c>
      <c r="BD69" s="158">
        <v>0.9240798187</v>
      </c>
      <c r="BE69" s="158">
        <v>1.226237717</v>
      </c>
      <c r="BF69" s="162">
        <v>1266</v>
      </c>
      <c r="BG69" s="162">
        <v>18</v>
      </c>
      <c r="BH69" s="162">
        <v>2335</v>
      </c>
      <c r="BI69" s="162">
        <v>1239</v>
      </c>
      <c r="BJ69" s="162">
        <v>703</v>
      </c>
      <c r="BK69" s="97"/>
      <c r="BL69" s="97"/>
      <c r="BM69" s="97"/>
      <c r="BN69" s="97"/>
    </row>
    <row r="70" spans="1:66" ht="12.75">
      <c r="A70" s="79" t="s">
        <v>548</v>
      </c>
      <c r="B70" s="79" t="s">
        <v>282</v>
      </c>
      <c r="C70" s="79" t="s">
        <v>259</v>
      </c>
      <c r="D70" s="99">
        <v>10122</v>
      </c>
      <c r="E70" s="99">
        <v>1874</v>
      </c>
      <c r="F70" s="99" t="s">
        <v>387</v>
      </c>
      <c r="G70" s="99">
        <v>39</v>
      </c>
      <c r="H70" s="99">
        <v>26</v>
      </c>
      <c r="I70" s="99">
        <v>230</v>
      </c>
      <c r="J70" s="99">
        <v>807</v>
      </c>
      <c r="K70" s="99">
        <v>11</v>
      </c>
      <c r="L70" s="99">
        <v>1961</v>
      </c>
      <c r="M70" s="99">
        <v>372</v>
      </c>
      <c r="N70" s="99">
        <v>316</v>
      </c>
      <c r="O70" s="99">
        <v>183</v>
      </c>
      <c r="P70" s="159">
        <v>183</v>
      </c>
      <c r="Q70" s="99">
        <v>13</v>
      </c>
      <c r="R70" s="99">
        <v>32</v>
      </c>
      <c r="S70" s="99">
        <v>31</v>
      </c>
      <c r="T70" s="99">
        <v>52</v>
      </c>
      <c r="U70" s="99" t="s">
        <v>634</v>
      </c>
      <c r="V70" s="99">
        <v>23</v>
      </c>
      <c r="W70" s="99">
        <v>31</v>
      </c>
      <c r="X70" s="99">
        <v>40</v>
      </c>
      <c r="Y70" s="99">
        <v>54</v>
      </c>
      <c r="Z70" s="99">
        <v>45</v>
      </c>
      <c r="AA70" s="99" t="s">
        <v>634</v>
      </c>
      <c r="AB70" s="99" t="s">
        <v>634</v>
      </c>
      <c r="AC70" s="99" t="s">
        <v>634</v>
      </c>
      <c r="AD70" s="98" t="s">
        <v>364</v>
      </c>
      <c r="AE70" s="100">
        <v>0.1851412764275835</v>
      </c>
      <c r="AF70" s="100">
        <v>0.06</v>
      </c>
      <c r="AG70" s="98">
        <v>385.2993479549496</v>
      </c>
      <c r="AH70" s="98">
        <v>256.8662319699664</v>
      </c>
      <c r="AI70" s="100">
        <v>0.023</v>
      </c>
      <c r="AJ70" s="100">
        <v>0.655565</v>
      </c>
      <c r="AK70" s="100">
        <v>0.458333</v>
      </c>
      <c r="AL70" s="100">
        <v>0.738328</v>
      </c>
      <c r="AM70" s="100">
        <v>0.336043</v>
      </c>
      <c r="AN70" s="100">
        <v>0.508039</v>
      </c>
      <c r="AO70" s="98">
        <v>1807.943094250148</v>
      </c>
      <c r="AP70" s="158">
        <v>0.915017395</v>
      </c>
      <c r="AQ70" s="100">
        <v>0.07103825136612021</v>
      </c>
      <c r="AR70" s="100">
        <v>0.40625</v>
      </c>
      <c r="AS70" s="98">
        <v>306.263584271883</v>
      </c>
      <c r="AT70" s="98">
        <v>513.7324639399328</v>
      </c>
      <c r="AU70" s="98" t="s">
        <v>634</v>
      </c>
      <c r="AV70" s="98">
        <v>227.22782058881643</v>
      </c>
      <c r="AW70" s="98">
        <v>306.263584271883</v>
      </c>
      <c r="AX70" s="98">
        <v>395.17881841533296</v>
      </c>
      <c r="AY70" s="98">
        <v>533.4914048606995</v>
      </c>
      <c r="AZ70" s="98">
        <v>444.57617071724957</v>
      </c>
      <c r="BA70" s="100" t="s">
        <v>634</v>
      </c>
      <c r="BB70" s="100" t="s">
        <v>634</v>
      </c>
      <c r="BC70" s="100" t="s">
        <v>634</v>
      </c>
      <c r="BD70" s="158">
        <v>0.7872428894</v>
      </c>
      <c r="BE70" s="158">
        <v>1.057621918</v>
      </c>
      <c r="BF70" s="162">
        <v>1231</v>
      </c>
      <c r="BG70" s="162">
        <v>24</v>
      </c>
      <c r="BH70" s="162">
        <v>2656</v>
      </c>
      <c r="BI70" s="162">
        <v>1107</v>
      </c>
      <c r="BJ70" s="162">
        <v>622</v>
      </c>
      <c r="BK70" s="97"/>
      <c r="BL70" s="97"/>
      <c r="BM70" s="97"/>
      <c r="BN70" s="97"/>
    </row>
    <row r="71" spans="1:66" ht="12.75">
      <c r="A71" s="79" t="s">
        <v>575</v>
      </c>
      <c r="B71" s="79" t="s">
        <v>310</v>
      </c>
      <c r="C71" s="79" t="s">
        <v>259</v>
      </c>
      <c r="D71" s="99">
        <v>10233</v>
      </c>
      <c r="E71" s="99">
        <v>1216</v>
      </c>
      <c r="F71" s="99" t="s">
        <v>384</v>
      </c>
      <c r="G71" s="99">
        <v>26</v>
      </c>
      <c r="H71" s="99">
        <v>20</v>
      </c>
      <c r="I71" s="99">
        <v>126</v>
      </c>
      <c r="J71" s="99">
        <v>537</v>
      </c>
      <c r="K71" s="99">
        <v>517</v>
      </c>
      <c r="L71" s="99">
        <v>1823</v>
      </c>
      <c r="M71" s="99">
        <v>136</v>
      </c>
      <c r="N71" s="99">
        <v>150</v>
      </c>
      <c r="O71" s="99">
        <v>110</v>
      </c>
      <c r="P71" s="159">
        <v>110</v>
      </c>
      <c r="Q71" s="99">
        <v>22</v>
      </c>
      <c r="R71" s="99">
        <v>30</v>
      </c>
      <c r="S71" s="99">
        <v>31</v>
      </c>
      <c r="T71" s="99">
        <v>17</v>
      </c>
      <c r="U71" s="99">
        <v>9</v>
      </c>
      <c r="V71" s="99">
        <v>10</v>
      </c>
      <c r="W71" s="99">
        <v>55</v>
      </c>
      <c r="X71" s="99">
        <v>13</v>
      </c>
      <c r="Y71" s="99">
        <v>61</v>
      </c>
      <c r="Z71" s="99">
        <v>55</v>
      </c>
      <c r="AA71" s="99" t="s">
        <v>634</v>
      </c>
      <c r="AB71" s="99" t="s">
        <v>634</v>
      </c>
      <c r="AC71" s="99" t="s">
        <v>634</v>
      </c>
      <c r="AD71" s="98" t="s">
        <v>364</v>
      </c>
      <c r="AE71" s="100">
        <v>0.11883123228769667</v>
      </c>
      <c r="AF71" s="100">
        <v>0.23</v>
      </c>
      <c r="AG71" s="98">
        <v>254.07993745724616</v>
      </c>
      <c r="AH71" s="98">
        <v>195.4461057363432</v>
      </c>
      <c r="AI71" s="100">
        <v>0.012</v>
      </c>
      <c r="AJ71" s="100">
        <v>0.645433</v>
      </c>
      <c r="AK71" s="100">
        <v>0.651134</v>
      </c>
      <c r="AL71" s="100">
        <v>0.769848</v>
      </c>
      <c r="AM71" s="100">
        <v>0.209231</v>
      </c>
      <c r="AN71" s="100">
        <v>0.402145</v>
      </c>
      <c r="AO71" s="98">
        <v>1074.9535815498875</v>
      </c>
      <c r="AP71" s="158">
        <v>0.7279041290000001</v>
      </c>
      <c r="AQ71" s="100">
        <v>0.2</v>
      </c>
      <c r="AR71" s="100">
        <v>0.7333333333333333</v>
      </c>
      <c r="AS71" s="98">
        <v>302.941463891332</v>
      </c>
      <c r="AT71" s="98">
        <v>166.1291898758917</v>
      </c>
      <c r="AU71" s="98">
        <v>87.95074758135443</v>
      </c>
      <c r="AV71" s="98">
        <v>97.7230528681716</v>
      </c>
      <c r="AW71" s="98">
        <v>537.4767907749438</v>
      </c>
      <c r="AX71" s="98">
        <v>127.03996872862308</v>
      </c>
      <c r="AY71" s="98">
        <v>596.1106224958468</v>
      </c>
      <c r="AZ71" s="98">
        <v>537.4767907749438</v>
      </c>
      <c r="BA71" s="100" t="s">
        <v>634</v>
      </c>
      <c r="BB71" s="100" t="s">
        <v>634</v>
      </c>
      <c r="BC71" s="100" t="s">
        <v>634</v>
      </c>
      <c r="BD71" s="158">
        <v>0.5982486725</v>
      </c>
      <c r="BE71" s="158">
        <v>0.8773213196</v>
      </c>
      <c r="BF71" s="162">
        <v>832</v>
      </c>
      <c r="BG71" s="162">
        <v>794</v>
      </c>
      <c r="BH71" s="162">
        <v>2368</v>
      </c>
      <c r="BI71" s="162">
        <v>650</v>
      </c>
      <c r="BJ71" s="162">
        <v>373</v>
      </c>
      <c r="BK71" s="97"/>
      <c r="BL71" s="97"/>
      <c r="BM71" s="97"/>
      <c r="BN71" s="97"/>
    </row>
    <row r="72" spans="1:66" ht="12.75">
      <c r="A72" s="79" t="s">
        <v>607</v>
      </c>
      <c r="B72" s="79" t="s">
        <v>342</v>
      </c>
      <c r="C72" s="79" t="s">
        <v>259</v>
      </c>
      <c r="D72" s="99">
        <v>6925</v>
      </c>
      <c r="E72" s="99">
        <v>699</v>
      </c>
      <c r="F72" s="99" t="s">
        <v>387</v>
      </c>
      <c r="G72" s="99">
        <v>22</v>
      </c>
      <c r="H72" s="99">
        <v>11</v>
      </c>
      <c r="I72" s="99">
        <v>96</v>
      </c>
      <c r="J72" s="99">
        <v>556</v>
      </c>
      <c r="K72" s="99">
        <v>532</v>
      </c>
      <c r="L72" s="99">
        <v>1526</v>
      </c>
      <c r="M72" s="99">
        <v>225</v>
      </c>
      <c r="N72" s="99">
        <v>189</v>
      </c>
      <c r="O72" s="99">
        <v>85</v>
      </c>
      <c r="P72" s="159">
        <v>85</v>
      </c>
      <c r="Q72" s="99">
        <v>14</v>
      </c>
      <c r="R72" s="99">
        <v>19</v>
      </c>
      <c r="S72" s="99">
        <v>20</v>
      </c>
      <c r="T72" s="99">
        <v>21</v>
      </c>
      <c r="U72" s="99" t="s">
        <v>634</v>
      </c>
      <c r="V72" s="99">
        <v>10</v>
      </c>
      <c r="W72" s="99">
        <v>36</v>
      </c>
      <c r="X72" s="99">
        <v>15</v>
      </c>
      <c r="Y72" s="99">
        <v>36</v>
      </c>
      <c r="Z72" s="99">
        <v>27</v>
      </c>
      <c r="AA72" s="99" t="s">
        <v>634</v>
      </c>
      <c r="AB72" s="99" t="s">
        <v>634</v>
      </c>
      <c r="AC72" s="99" t="s">
        <v>634</v>
      </c>
      <c r="AD72" s="98" t="s">
        <v>364</v>
      </c>
      <c r="AE72" s="100">
        <v>0.10093862815884476</v>
      </c>
      <c r="AF72" s="100">
        <v>0.06</v>
      </c>
      <c r="AG72" s="98">
        <v>317.6895306859206</v>
      </c>
      <c r="AH72" s="98">
        <v>158.8447653429603</v>
      </c>
      <c r="AI72" s="100">
        <v>0.013999999999999999</v>
      </c>
      <c r="AJ72" s="100">
        <v>0.801153</v>
      </c>
      <c r="AK72" s="100">
        <v>0.820988</v>
      </c>
      <c r="AL72" s="100">
        <v>0.81084</v>
      </c>
      <c r="AM72" s="100">
        <v>0.380711</v>
      </c>
      <c r="AN72" s="100">
        <v>0.581538</v>
      </c>
      <c r="AO72" s="98">
        <v>1227.436823104693</v>
      </c>
      <c r="AP72" s="158">
        <v>0.792634201</v>
      </c>
      <c r="AQ72" s="100">
        <v>0.16470588235294117</v>
      </c>
      <c r="AR72" s="100">
        <v>0.7368421052631579</v>
      </c>
      <c r="AS72" s="98">
        <v>288.8086642599278</v>
      </c>
      <c r="AT72" s="98">
        <v>303.2490974729242</v>
      </c>
      <c r="AU72" s="98" t="s">
        <v>634</v>
      </c>
      <c r="AV72" s="98">
        <v>144.4043321299639</v>
      </c>
      <c r="AW72" s="98">
        <v>519.85559566787</v>
      </c>
      <c r="AX72" s="98">
        <v>216.60649819494586</v>
      </c>
      <c r="AY72" s="98">
        <v>519.85559566787</v>
      </c>
      <c r="AZ72" s="98">
        <v>389.89169675090255</v>
      </c>
      <c r="BA72" s="100" t="s">
        <v>634</v>
      </c>
      <c r="BB72" s="100" t="s">
        <v>634</v>
      </c>
      <c r="BC72" s="100" t="s">
        <v>634</v>
      </c>
      <c r="BD72" s="158">
        <v>0.6331280518</v>
      </c>
      <c r="BE72" s="158">
        <v>0.9801044464</v>
      </c>
      <c r="BF72" s="162">
        <v>694</v>
      </c>
      <c r="BG72" s="162">
        <v>648</v>
      </c>
      <c r="BH72" s="162">
        <v>1882</v>
      </c>
      <c r="BI72" s="162">
        <v>591</v>
      </c>
      <c r="BJ72" s="162">
        <v>325</v>
      </c>
      <c r="BK72" s="97"/>
      <c r="BL72" s="97"/>
      <c r="BM72" s="97"/>
      <c r="BN72" s="97"/>
    </row>
    <row r="73" spans="1:66" ht="12.75">
      <c r="A73" s="79" t="s">
        <v>581</v>
      </c>
      <c r="B73" s="79" t="s">
        <v>316</v>
      </c>
      <c r="C73" s="79" t="s">
        <v>259</v>
      </c>
      <c r="D73" s="99">
        <v>15671</v>
      </c>
      <c r="E73" s="99">
        <v>2869</v>
      </c>
      <c r="F73" s="99" t="s">
        <v>387</v>
      </c>
      <c r="G73" s="99">
        <v>90</v>
      </c>
      <c r="H73" s="99">
        <v>39</v>
      </c>
      <c r="I73" s="99">
        <v>319</v>
      </c>
      <c r="J73" s="99">
        <v>1475</v>
      </c>
      <c r="K73" s="99">
        <v>16</v>
      </c>
      <c r="L73" s="99">
        <v>3188</v>
      </c>
      <c r="M73" s="99">
        <v>536</v>
      </c>
      <c r="N73" s="99">
        <v>583</v>
      </c>
      <c r="O73" s="99">
        <v>361</v>
      </c>
      <c r="P73" s="159">
        <v>361</v>
      </c>
      <c r="Q73" s="99">
        <v>39</v>
      </c>
      <c r="R73" s="99">
        <v>65</v>
      </c>
      <c r="S73" s="99">
        <v>85</v>
      </c>
      <c r="T73" s="99">
        <v>71</v>
      </c>
      <c r="U73" s="99">
        <v>8</v>
      </c>
      <c r="V73" s="99">
        <v>67</v>
      </c>
      <c r="W73" s="99">
        <v>111</v>
      </c>
      <c r="X73" s="99">
        <v>47</v>
      </c>
      <c r="Y73" s="99">
        <v>151</v>
      </c>
      <c r="Z73" s="99">
        <v>97</v>
      </c>
      <c r="AA73" s="99" t="s">
        <v>634</v>
      </c>
      <c r="AB73" s="99" t="s">
        <v>634</v>
      </c>
      <c r="AC73" s="99" t="s">
        <v>634</v>
      </c>
      <c r="AD73" s="98" t="s">
        <v>364</v>
      </c>
      <c r="AE73" s="100">
        <v>0.18307702124944164</v>
      </c>
      <c r="AF73" s="100">
        <v>0.07</v>
      </c>
      <c r="AG73" s="98">
        <v>574.3092336162338</v>
      </c>
      <c r="AH73" s="98">
        <v>248.86733456703465</v>
      </c>
      <c r="AI73" s="100">
        <v>0.02</v>
      </c>
      <c r="AJ73" s="100">
        <v>0.74608</v>
      </c>
      <c r="AK73" s="100">
        <v>0.516129</v>
      </c>
      <c r="AL73" s="100">
        <v>0.802013</v>
      </c>
      <c r="AM73" s="100">
        <v>0.294505</v>
      </c>
      <c r="AN73" s="100">
        <v>0.541318</v>
      </c>
      <c r="AO73" s="98">
        <v>2303.618148171782</v>
      </c>
      <c r="AP73" s="158">
        <v>1.1762058260000001</v>
      </c>
      <c r="AQ73" s="100">
        <v>0.10803324099722991</v>
      </c>
      <c r="AR73" s="100">
        <v>0.6</v>
      </c>
      <c r="AS73" s="98">
        <v>542.4031650819986</v>
      </c>
      <c r="AT73" s="98">
        <v>453.06617318614</v>
      </c>
      <c r="AU73" s="98">
        <v>51.049709654776336</v>
      </c>
      <c r="AV73" s="98">
        <v>427.5413183587518</v>
      </c>
      <c r="AW73" s="98">
        <v>708.3147214600217</v>
      </c>
      <c r="AX73" s="98">
        <v>299.917044221811</v>
      </c>
      <c r="AY73" s="98">
        <v>963.5632697339034</v>
      </c>
      <c r="AZ73" s="98">
        <v>618.9777295641632</v>
      </c>
      <c r="BA73" s="100" t="s">
        <v>634</v>
      </c>
      <c r="BB73" s="100" t="s">
        <v>634</v>
      </c>
      <c r="BC73" s="100" t="s">
        <v>634</v>
      </c>
      <c r="BD73" s="158">
        <v>1.057988052</v>
      </c>
      <c r="BE73" s="158">
        <v>1.304020691</v>
      </c>
      <c r="BF73" s="162">
        <v>1977</v>
      </c>
      <c r="BG73" s="162">
        <v>31</v>
      </c>
      <c r="BH73" s="162">
        <v>3975</v>
      </c>
      <c r="BI73" s="162">
        <v>1820</v>
      </c>
      <c r="BJ73" s="162">
        <v>1077</v>
      </c>
      <c r="BK73" s="97"/>
      <c r="BL73" s="97"/>
      <c r="BM73" s="97"/>
      <c r="BN73" s="97"/>
    </row>
    <row r="74" spans="1:66" ht="12.75">
      <c r="A74" s="79" t="s">
        <v>572</v>
      </c>
      <c r="B74" s="79" t="s">
        <v>307</v>
      </c>
      <c r="C74" s="79" t="s">
        <v>259</v>
      </c>
      <c r="D74" s="99">
        <v>18898</v>
      </c>
      <c r="E74" s="99">
        <v>3074</v>
      </c>
      <c r="F74" s="99" t="s">
        <v>385</v>
      </c>
      <c r="G74" s="99">
        <v>88</v>
      </c>
      <c r="H74" s="99">
        <v>47</v>
      </c>
      <c r="I74" s="99">
        <v>175</v>
      </c>
      <c r="J74" s="99">
        <v>1497</v>
      </c>
      <c r="K74" s="99">
        <v>1501</v>
      </c>
      <c r="L74" s="99">
        <v>3101</v>
      </c>
      <c r="M74" s="99">
        <v>689</v>
      </c>
      <c r="N74" s="99">
        <v>609</v>
      </c>
      <c r="O74" s="99">
        <v>342</v>
      </c>
      <c r="P74" s="159">
        <v>342</v>
      </c>
      <c r="Q74" s="99">
        <v>38</v>
      </c>
      <c r="R74" s="99">
        <v>67</v>
      </c>
      <c r="S74" s="99">
        <v>62</v>
      </c>
      <c r="T74" s="99">
        <v>81</v>
      </c>
      <c r="U74" s="99">
        <v>10</v>
      </c>
      <c r="V74" s="99">
        <v>66</v>
      </c>
      <c r="W74" s="99">
        <v>149</v>
      </c>
      <c r="X74" s="99">
        <v>126</v>
      </c>
      <c r="Y74" s="99">
        <v>206</v>
      </c>
      <c r="Z74" s="99">
        <v>129</v>
      </c>
      <c r="AA74" s="99" t="s">
        <v>634</v>
      </c>
      <c r="AB74" s="99" t="s">
        <v>634</v>
      </c>
      <c r="AC74" s="99" t="s">
        <v>634</v>
      </c>
      <c r="AD74" s="98" t="s">
        <v>364</v>
      </c>
      <c r="AE74" s="100">
        <v>0.16266271563128373</v>
      </c>
      <c r="AF74" s="100">
        <v>0.12</v>
      </c>
      <c r="AG74" s="98">
        <v>465.6577415599534</v>
      </c>
      <c r="AH74" s="98">
        <v>248.70356651497514</v>
      </c>
      <c r="AI74" s="100">
        <v>0.009000000000000001</v>
      </c>
      <c r="AJ74" s="100">
        <v>0.725994</v>
      </c>
      <c r="AK74" s="100">
        <v>0.772915</v>
      </c>
      <c r="AL74" s="100">
        <v>0.724025</v>
      </c>
      <c r="AM74" s="100">
        <v>0.339744</v>
      </c>
      <c r="AN74" s="100">
        <v>0.532808</v>
      </c>
      <c r="AO74" s="98">
        <v>1809.715313789819</v>
      </c>
      <c r="AP74" s="158">
        <v>1.019565353</v>
      </c>
      <c r="AQ74" s="100">
        <v>0.1111111111111111</v>
      </c>
      <c r="AR74" s="100">
        <v>0.5671641791044776</v>
      </c>
      <c r="AS74" s="98">
        <v>328.0770451899672</v>
      </c>
      <c r="AT74" s="98">
        <v>428.6167848449571</v>
      </c>
      <c r="AU74" s="98">
        <v>52.91565244999471</v>
      </c>
      <c r="AV74" s="98">
        <v>349.2433061699651</v>
      </c>
      <c r="AW74" s="98">
        <v>788.4432215049212</v>
      </c>
      <c r="AX74" s="98">
        <v>666.7372208699334</v>
      </c>
      <c r="AY74" s="98">
        <v>1090.062440469891</v>
      </c>
      <c r="AZ74" s="98">
        <v>682.6119166049317</v>
      </c>
      <c r="BA74" s="100" t="s">
        <v>634</v>
      </c>
      <c r="BB74" s="100" t="s">
        <v>634</v>
      </c>
      <c r="BC74" s="100" t="s">
        <v>634</v>
      </c>
      <c r="BD74" s="158">
        <v>0.9143598175</v>
      </c>
      <c r="BE74" s="158">
        <v>1.133556137</v>
      </c>
      <c r="BF74" s="162">
        <v>2062</v>
      </c>
      <c r="BG74" s="162">
        <v>1942</v>
      </c>
      <c r="BH74" s="162">
        <v>4283</v>
      </c>
      <c r="BI74" s="162">
        <v>2028</v>
      </c>
      <c r="BJ74" s="162">
        <v>1143</v>
      </c>
      <c r="BK74" s="97"/>
      <c r="BL74" s="97"/>
      <c r="BM74" s="97"/>
      <c r="BN74" s="97"/>
    </row>
    <row r="75" spans="1:66" ht="12.75">
      <c r="A75" s="79" t="s">
        <v>574</v>
      </c>
      <c r="B75" s="79" t="s">
        <v>309</v>
      </c>
      <c r="C75" s="79" t="s">
        <v>259</v>
      </c>
      <c r="D75" s="99">
        <v>6971</v>
      </c>
      <c r="E75" s="99">
        <v>1436</v>
      </c>
      <c r="F75" s="99" t="s">
        <v>387</v>
      </c>
      <c r="G75" s="99">
        <v>24</v>
      </c>
      <c r="H75" s="99">
        <v>31</v>
      </c>
      <c r="I75" s="99">
        <v>161</v>
      </c>
      <c r="J75" s="99">
        <v>788</v>
      </c>
      <c r="K75" s="99">
        <v>723</v>
      </c>
      <c r="L75" s="99">
        <v>1433</v>
      </c>
      <c r="M75" s="99">
        <v>379</v>
      </c>
      <c r="N75" s="99">
        <v>337</v>
      </c>
      <c r="O75" s="99">
        <v>217</v>
      </c>
      <c r="P75" s="159">
        <v>217</v>
      </c>
      <c r="Q75" s="99">
        <v>29</v>
      </c>
      <c r="R75" s="99">
        <v>42</v>
      </c>
      <c r="S75" s="99">
        <v>45</v>
      </c>
      <c r="T75" s="99">
        <v>49</v>
      </c>
      <c r="U75" s="99" t="s">
        <v>634</v>
      </c>
      <c r="V75" s="99">
        <v>43</v>
      </c>
      <c r="W75" s="99">
        <v>88</v>
      </c>
      <c r="X75" s="99">
        <v>46</v>
      </c>
      <c r="Y75" s="99">
        <v>89</v>
      </c>
      <c r="Z75" s="99">
        <v>48</v>
      </c>
      <c r="AA75" s="99" t="s">
        <v>634</v>
      </c>
      <c r="AB75" s="99" t="s">
        <v>634</v>
      </c>
      <c r="AC75" s="99" t="s">
        <v>634</v>
      </c>
      <c r="AD75" s="98" t="s">
        <v>364</v>
      </c>
      <c r="AE75" s="100">
        <v>0.20599627026251613</v>
      </c>
      <c r="AF75" s="100">
        <v>0.08</v>
      </c>
      <c r="AG75" s="98">
        <v>344.28346004877346</v>
      </c>
      <c r="AH75" s="98">
        <v>444.69946922966574</v>
      </c>
      <c r="AI75" s="100">
        <v>0.023</v>
      </c>
      <c r="AJ75" s="100">
        <v>0.79196</v>
      </c>
      <c r="AK75" s="100">
        <v>0.796256</v>
      </c>
      <c r="AL75" s="100">
        <v>0.821203</v>
      </c>
      <c r="AM75" s="100">
        <v>0.395616</v>
      </c>
      <c r="AN75" s="100">
        <v>0.587108</v>
      </c>
      <c r="AO75" s="98">
        <v>3112.89628460766</v>
      </c>
      <c r="AP75" s="158">
        <v>1.497680969</v>
      </c>
      <c r="AQ75" s="100">
        <v>0.1336405529953917</v>
      </c>
      <c r="AR75" s="100">
        <v>0.6904761904761905</v>
      </c>
      <c r="AS75" s="98">
        <v>645.5314875914503</v>
      </c>
      <c r="AT75" s="98">
        <v>702.9120642662459</v>
      </c>
      <c r="AU75" s="98" t="s">
        <v>634</v>
      </c>
      <c r="AV75" s="98">
        <v>616.8411992540525</v>
      </c>
      <c r="AW75" s="98">
        <v>1262.3726868455028</v>
      </c>
      <c r="AX75" s="98">
        <v>659.8766317601492</v>
      </c>
      <c r="AY75" s="98">
        <v>1276.7178310142017</v>
      </c>
      <c r="AZ75" s="98">
        <v>688.5669200975469</v>
      </c>
      <c r="BA75" s="100" t="s">
        <v>634</v>
      </c>
      <c r="BB75" s="100" t="s">
        <v>634</v>
      </c>
      <c r="BC75" s="100" t="s">
        <v>634</v>
      </c>
      <c r="BD75" s="158">
        <v>1.3050283809999998</v>
      </c>
      <c r="BE75" s="158">
        <v>1.710763855</v>
      </c>
      <c r="BF75" s="162">
        <v>995</v>
      </c>
      <c r="BG75" s="162">
        <v>908</v>
      </c>
      <c r="BH75" s="162">
        <v>1745</v>
      </c>
      <c r="BI75" s="162">
        <v>958</v>
      </c>
      <c r="BJ75" s="162">
        <v>574</v>
      </c>
      <c r="BK75" s="97"/>
      <c r="BL75" s="97"/>
      <c r="BM75" s="97"/>
      <c r="BN75" s="97"/>
    </row>
    <row r="76" spans="1:66" ht="12.75">
      <c r="A76" s="79" t="s">
        <v>594</v>
      </c>
      <c r="B76" s="79" t="s">
        <v>329</v>
      </c>
      <c r="C76" s="79" t="s">
        <v>259</v>
      </c>
      <c r="D76" s="99">
        <v>9602</v>
      </c>
      <c r="E76" s="99">
        <v>1844</v>
      </c>
      <c r="F76" s="99" t="s">
        <v>387</v>
      </c>
      <c r="G76" s="99">
        <v>60</v>
      </c>
      <c r="H76" s="99">
        <v>33</v>
      </c>
      <c r="I76" s="99">
        <v>162</v>
      </c>
      <c r="J76" s="99">
        <v>878</v>
      </c>
      <c r="K76" s="99">
        <v>15</v>
      </c>
      <c r="L76" s="99">
        <v>1866</v>
      </c>
      <c r="M76" s="99">
        <v>405</v>
      </c>
      <c r="N76" s="99">
        <v>426</v>
      </c>
      <c r="O76" s="99">
        <v>228</v>
      </c>
      <c r="P76" s="159">
        <v>228</v>
      </c>
      <c r="Q76" s="99">
        <v>29</v>
      </c>
      <c r="R76" s="99">
        <v>43</v>
      </c>
      <c r="S76" s="99">
        <v>51</v>
      </c>
      <c r="T76" s="99">
        <v>43</v>
      </c>
      <c r="U76" s="99">
        <v>7</v>
      </c>
      <c r="V76" s="99">
        <v>48</v>
      </c>
      <c r="W76" s="99">
        <v>60</v>
      </c>
      <c r="X76" s="99">
        <v>27</v>
      </c>
      <c r="Y76" s="99">
        <v>90</v>
      </c>
      <c r="Z76" s="99">
        <v>65</v>
      </c>
      <c r="AA76" s="99" t="s">
        <v>634</v>
      </c>
      <c r="AB76" s="99" t="s">
        <v>634</v>
      </c>
      <c r="AC76" s="99" t="s">
        <v>634</v>
      </c>
      <c r="AD76" s="98" t="s">
        <v>364</v>
      </c>
      <c r="AE76" s="100">
        <v>0.19204332430743595</v>
      </c>
      <c r="AF76" s="100">
        <v>0.08</v>
      </c>
      <c r="AG76" s="98">
        <v>624.8698187877526</v>
      </c>
      <c r="AH76" s="98">
        <v>343.6784003332639</v>
      </c>
      <c r="AI76" s="100">
        <v>0.017</v>
      </c>
      <c r="AJ76" s="100">
        <v>0.719672</v>
      </c>
      <c r="AK76" s="100">
        <v>0.714286</v>
      </c>
      <c r="AL76" s="100">
        <v>0.779774</v>
      </c>
      <c r="AM76" s="100">
        <v>0.316406</v>
      </c>
      <c r="AN76" s="100">
        <v>0.588398</v>
      </c>
      <c r="AO76" s="98">
        <v>2374.5053113934596</v>
      </c>
      <c r="AP76" s="158">
        <v>1.180330429</v>
      </c>
      <c r="AQ76" s="100">
        <v>0.12719298245614036</v>
      </c>
      <c r="AR76" s="100">
        <v>0.6744186046511628</v>
      </c>
      <c r="AS76" s="98">
        <v>531.1393459695896</v>
      </c>
      <c r="AT76" s="98">
        <v>447.82337013122265</v>
      </c>
      <c r="AU76" s="98">
        <v>72.90147885857112</v>
      </c>
      <c r="AV76" s="98">
        <v>499.89585503020203</v>
      </c>
      <c r="AW76" s="98">
        <v>624.8698187877526</v>
      </c>
      <c r="AX76" s="98">
        <v>281.19141845448866</v>
      </c>
      <c r="AY76" s="98">
        <v>937.3047281816288</v>
      </c>
      <c r="AZ76" s="98">
        <v>676.942303686732</v>
      </c>
      <c r="BA76" s="100" t="s">
        <v>634</v>
      </c>
      <c r="BB76" s="100" t="s">
        <v>634</v>
      </c>
      <c r="BC76" s="100" t="s">
        <v>634</v>
      </c>
      <c r="BD76" s="158">
        <v>1.032082138</v>
      </c>
      <c r="BE76" s="158">
        <v>1.343894958</v>
      </c>
      <c r="BF76" s="162">
        <v>1220</v>
      </c>
      <c r="BG76" s="162">
        <v>21</v>
      </c>
      <c r="BH76" s="162">
        <v>2393</v>
      </c>
      <c r="BI76" s="162">
        <v>1280</v>
      </c>
      <c r="BJ76" s="162">
        <v>724</v>
      </c>
      <c r="BK76" s="97"/>
      <c r="BL76" s="97"/>
      <c r="BM76" s="97"/>
      <c r="BN76" s="97"/>
    </row>
    <row r="77" spans="1:66" ht="12.75">
      <c r="A77" s="79" t="s">
        <v>583</v>
      </c>
      <c r="B77" s="79" t="s">
        <v>318</v>
      </c>
      <c r="C77" s="79" t="s">
        <v>259</v>
      </c>
      <c r="D77" s="99">
        <v>7398</v>
      </c>
      <c r="E77" s="99">
        <v>1572</v>
      </c>
      <c r="F77" s="99" t="s">
        <v>387</v>
      </c>
      <c r="G77" s="99">
        <v>48</v>
      </c>
      <c r="H77" s="99">
        <v>26</v>
      </c>
      <c r="I77" s="99">
        <v>113</v>
      </c>
      <c r="J77" s="99">
        <v>815</v>
      </c>
      <c r="K77" s="99">
        <v>753</v>
      </c>
      <c r="L77" s="99">
        <v>1432</v>
      </c>
      <c r="M77" s="99">
        <v>402</v>
      </c>
      <c r="N77" s="99">
        <v>352</v>
      </c>
      <c r="O77" s="99">
        <v>121</v>
      </c>
      <c r="P77" s="159">
        <v>121</v>
      </c>
      <c r="Q77" s="99">
        <v>21</v>
      </c>
      <c r="R77" s="99">
        <v>29</v>
      </c>
      <c r="S77" s="99">
        <v>37</v>
      </c>
      <c r="T77" s="99">
        <v>18</v>
      </c>
      <c r="U77" s="99" t="s">
        <v>634</v>
      </c>
      <c r="V77" s="99">
        <v>22</v>
      </c>
      <c r="W77" s="99">
        <v>63</v>
      </c>
      <c r="X77" s="99">
        <v>41</v>
      </c>
      <c r="Y77" s="99">
        <v>74</v>
      </c>
      <c r="Z77" s="99">
        <v>40</v>
      </c>
      <c r="AA77" s="99" t="s">
        <v>634</v>
      </c>
      <c r="AB77" s="99" t="s">
        <v>634</v>
      </c>
      <c r="AC77" s="99" t="s">
        <v>634</v>
      </c>
      <c r="AD77" s="98" t="s">
        <v>364</v>
      </c>
      <c r="AE77" s="100">
        <v>0.21248986212489862</v>
      </c>
      <c r="AF77" s="100">
        <v>0.07</v>
      </c>
      <c r="AG77" s="98">
        <v>648.8240064882401</v>
      </c>
      <c r="AH77" s="98">
        <v>351.4463368477967</v>
      </c>
      <c r="AI77" s="100">
        <v>0.015</v>
      </c>
      <c r="AJ77" s="100">
        <v>0.751845</v>
      </c>
      <c r="AK77" s="100">
        <v>0.766802</v>
      </c>
      <c r="AL77" s="100">
        <v>0.790723</v>
      </c>
      <c r="AM77" s="100">
        <v>0.409786</v>
      </c>
      <c r="AN77" s="100">
        <v>0.634234</v>
      </c>
      <c r="AO77" s="98">
        <v>1635.5771830224385</v>
      </c>
      <c r="AP77" s="158">
        <v>0.7628651428000001</v>
      </c>
      <c r="AQ77" s="100">
        <v>0.17355371900826447</v>
      </c>
      <c r="AR77" s="100">
        <v>0.7241379310344828</v>
      </c>
      <c r="AS77" s="98">
        <v>500.13517166801836</v>
      </c>
      <c r="AT77" s="98">
        <v>243.30900243309003</v>
      </c>
      <c r="AU77" s="98" t="s">
        <v>634</v>
      </c>
      <c r="AV77" s="98">
        <v>297.37766964044334</v>
      </c>
      <c r="AW77" s="98">
        <v>851.5815085158151</v>
      </c>
      <c r="AX77" s="98">
        <v>554.2038388753717</v>
      </c>
      <c r="AY77" s="98">
        <v>1000.2703433360367</v>
      </c>
      <c r="AZ77" s="98">
        <v>540.6866720735334</v>
      </c>
      <c r="BA77" s="100" t="s">
        <v>634</v>
      </c>
      <c r="BB77" s="100" t="s">
        <v>634</v>
      </c>
      <c r="BC77" s="100" t="s">
        <v>634</v>
      </c>
      <c r="BD77" s="158">
        <v>0.6330052948</v>
      </c>
      <c r="BE77" s="158">
        <v>0.9115264893</v>
      </c>
      <c r="BF77" s="162">
        <v>1084</v>
      </c>
      <c r="BG77" s="162">
        <v>982</v>
      </c>
      <c r="BH77" s="162">
        <v>1811</v>
      </c>
      <c r="BI77" s="162">
        <v>981</v>
      </c>
      <c r="BJ77" s="162">
        <v>555</v>
      </c>
      <c r="BK77" s="97"/>
      <c r="BL77" s="97"/>
      <c r="BM77" s="97"/>
      <c r="BN77" s="97"/>
    </row>
    <row r="78" spans="1:66" ht="12.75">
      <c r="A78" s="79" t="s">
        <v>562</v>
      </c>
      <c r="B78" s="79" t="s">
        <v>297</v>
      </c>
      <c r="C78" s="79" t="s">
        <v>259</v>
      </c>
      <c r="D78" s="99">
        <v>12619</v>
      </c>
      <c r="E78" s="99">
        <v>2424</v>
      </c>
      <c r="F78" s="99" t="s">
        <v>387</v>
      </c>
      <c r="G78" s="99">
        <v>66</v>
      </c>
      <c r="H78" s="99">
        <v>34</v>
      </c>
      <c r="I78" s="99">
        <v>281</v>
      </c>
      <c r="J78" s="99">
        <v>1407</v>
      </c>
      <c r="K78" s="99">
        <v>1381</v>
      </c>
      <c r="L78" s="99">
        <v>2404</v>
      </c>
      <c r="M78" s="99">
        <v>610</v>
      </c>
      <c r="N78" s="99">
        <v>542</v>
      </c>
      <c r="O78" s="99">
        <v>258</v>
      </c>
      <c r="P78" s="159">
        <v>258</v>
      </c>
      <c r="Q78" s="99">
        <v>35</v>
      </c>
      <c r="R78" s="99">
        <v>55</v>
      </c>
      <c r="S78" s="99">
        <v>56</v>
      </c>
      <c r="T78" s="99">
        <v>50</v>
      </c>
      <c r="U78" s="99">
        <v>9</v>
      </c>
      <c r="V78" s="99">
        <v>27</v>
      </c>
      <c r="W78" s="99">
        <v>104</v>
      </c>
      <c r="X78" s="99">
        <v>37</v>
      </c>
      <c r="Y78" s="99">
        <v>139</v>
      </c>
      <c r="Z78" s="99">
        <v>69</v>
      </c>
      <c r="AA78" s="99" t="s">
        <v>634</v>
      </c>
      <c r="AB78" s="99" t="s">
        <v>634</v>
      </c>
      <c r="AC78" s="99" t="s">
        <v>634</v>
      </c>
      <c r="AD78" s="98" t="s">
        <v>364</v>
      </c>
      <c r="AE78" s="100">
        <v>0.19209129091053173</v>
      </c>
      <c r="AF78" s="100">
        <v>0.07</v>
      </c>
      <c r="AG78" s="98">
        <v>523.0208415880815</v>
      </c>
      <c r="AH78" s="98">
        <v>269.43497899992076</v>
      </c>
      <c r="AI78" s="100">
        <v>0.022000000000000002</v>
      </c>
      <c r="AJ78" s="100">
        <v>0.845553</v>
      </c>
      <c r="AK78" s="100">
        <v>0.852469</v>
      </c>
      <c r="AL78" s="100">
        <v>0.793138</v>
      </c>
      <c r="AM78" s="100">
        <v>0.381488</v>
      </c>
      <c r="AN78" s="100">
        <v>0.594951</v>
      </c>
      <c r="AO78" s="98">
        <v>2044.5360171170457</v>
      </c>
      <c r="AP78" s="158">
        <v>1.028382339</v>
      </c>
      <c r="AQ78" s="100">
        <v>0.13565891472868216</v>
      </c>
      <c r="AR78" s="100">
        <v>0.6363636363636364</v>
      </c>
      <c r="AS78" s="98">
        <v>443.77525952928124</v>
      </c>
      <c r="AT78" s="98">
        <v>396.2279102940011</v>
      </c>
      <c r="AU78" s="98">
        <v>71.3210238529202</v>
      </c>
      <c r="AV78" s="98">
        <v>213.9630715587606</v>
      </c>
      <c r="AW78" s="98">
        <v>824.1540534115223</v>
      </c>
      <c r="AX78" s="98">
        <v>293.2086536175608</v>
      </c>
      <c r="AY78" s="98">
        <v>1101.5135906173232</v>
      </c>
      <c r="AZ78" s="98">
        <v>546.7945162057215</v>
      </c>
      <c r="BA78" s="100" t="s">
        <v>634</v>
      </c>
      <c r="BB78" s="100" t="s">
        <v>634</v>
      </c>
      <c r="BC78" s="100" t="s">
        <v>634</v>
      </c>
      <c r="BD78" s="158">
        <v>0.9067139435</v>
      </c>
      <c r="BE78" s="158">
        <v>1.161828308</v>
      </c>
      <c r="BF78" s="162">
        <v>1664</v>
      </c>
      <c r="BG78" s="162">
        <v>1620</v>
      </c>
      <c r="BH78" s="162">
        <v>3031</v>
      </c>
      <c r="BI78" s="162">
        <v>1599</v>
      </c>
      <c r="BJ78" s="162">
        <v>911</v>
      </c>
      <c r="BK78" s="97"/>
      <c r="BL78" s="97"/>
      <c r="BM78" s="97"/>
      <c r="BN78" s="97"/>
    </row>
    <row r="79" spans="1:66" ht="12.75">
      <c r="A79" s="79" t="s">
        <v>568</v>
      </c>
      <c r="B79" s="79" t="s">
        <v>303</v>
      </c>
      <c r="C79" s="79" t="s">
        <v>259</v>
      </c>
      <c r="D79" s="99">
        <v>8423</v>
      </c>
      <c r="E79" s="99">
        <v>1420</v>
      </c>
      <c r="F79" s="99" t="s">
        <v>386</v>
      </c>
      <c r="G79" s="99">
        <v>60</v>
      </c>
      <c r="H79" s="99">
        <v>30</v>
      </c>
      <c r="I79" s="99">
        <v>154</v>
      </c>
      <c r="J79" s="99">
        <v>726</v>
      </c>
      <c r="K79" s="99">
        <v>726</v>
      </c>
      <c r="L79" s="99">
        <v>1539</v>
      </c>
      <c r="M79" s="99">
        <v>327</v>
      </c>
      <c r="N79" s="99">
        <v>289</v>
      </c>
      <c r="O79" s="99">
        <v>135</v>
      </c>
      <c r="P79" s="159">
        <v>135</v>
      </c>
      <c r="Q79" s="99">
        <v>29</v>
      </c>
      <c r="R79" s="99">
        <v>34</v>
      </c>
      <c r="S79" s="99">
        <v>45</v>
      </c>
      <c r="T79" s="99">
        <v>28</v>
      </c>
      <c r="U79" s="99" t="s">
        <v>634</v>
      </c>
      <c r="V79" s="99">
        <v>18</v>
      </c>
      <c r="W79" s="99">
        <v>55</v>
      </c>
      <c r="X79" s="99">
        <v>38</v>
      </c>
      <c r="Y79" s="99">
        <v>75</v>
      </c>
      <c r="Z79" s="99">
        <v>77</v>
      </c>
      <c r="AA79" s="99" t="s">
        <v>634</v>
      </c>
      <c r="AB79" s="99" t="s">
        <v>634</v>
      </c>
      <c r="AC79" s="99" t="s">
        <v>634</v>
      </c>
      <c r="AD79" s="98" t="s">
        <v>364</v>
      </c>
      <c r="AE79" s="100">
        <v>0.16858601448415053</v>
      </c>
      <c r="AF79" s="100">
        <v>0.13</v>
      </c>
      <c r="AG79" s="98">
        <v>712.3352724682417</v>
      </c>
      <c r="AH79" s="98">
        <v>356.16763623412083</v>
      </c>
      <c r="AI79" s="100">
        <v>0.018000000000000002</v>
      </c>
      <c r="AJ79" s="100">
        <v>0.746914</v>
      </c>
      <c r="AK79" s="100">
        <v>0.77897</v>
      </c>
      <c r="AL79" s="100">
        <v>0.749635</v>
      </c>
      <c r="AM79" s="100">
        <v>0.344211</v>
      </c>
      <c r="AN79" s="100">
        <v>0.547348</v>
      </c>
      <c r="AO79" s="98">
        <v>1602.7543630535438</v>
      </c>
      <c r="AP79" s="158">
        <v>0.8750068665</v>
      </c>
      <c r="AQ79" s="100">
        <v>0.21481481481481482</v>
      </c>
      <c r="AR79" s="100">
        <v>0.8529411764705882</v>
      </c>
      <c r="AS79" s="98">
        <v>534.2514543511813</v>
      </c>
      <c r="AT79" s="98">
        <v>332.42312715184613</v>
      </c>
      <c r="AU79" s="98" t="s">
        <v>634</v>
      </c>
      <c r="AV79" s="98">
        <v>213.70058174047253</v>
      </c>
      <c r="AW79" s="98">
        <v>652.9739997625549</v>
      </c>
      <c r="AX79" s="98">
        <v>451.14567256321976</v>
      </c>
      <c r="AY79" s="98">
        <v>890.4190905853021</v>
      </c>
      <c r="AZ79" s="98">
        <v>914.1635996675768</v>
      </c>
      <c r="BA79" s="100" t="s">
        <v>634</v>
      </c>
      <c r="BB79" s="100" t="s">
        <v>634</v>
      </c>
      <c r="BC79" s="100" t="s">
        <v>634</v>
      </c>
      <c r="BD79" s="158">
        <v>0.7336362457</v>
      </c>
      <c r="BE79" s="158">
        <v>1.035676498</v>
      </c>
      <c r="BF79" s="162">
        <v>972</v>
      </c>
      <c r="BG79" s="162">
        <v>932</v>
      </c>
      <c r="BH79" s="162">
        <v>2053</v>
      </c>
      <c r="BI79" s="162">
        <v>950</v>
      </c>
      <c r="BJ79" s="162">
        <v>528</v>
      </c>
      <c r="BK79" s="97"/>
      <c r="BL79" s="97"/>
      <c r="BM79" s="97"/>
      <c r="BN79" s="97"/>
    </row>
    <row r="80" spans="1:66" ht="12.75">
      <c r="A80" s="79" t="s">
        <v>622</v>
      </c>
      <c r="B80" s="79" t="s">
        <v>358</v>
      </c>
      <c r="C80" s="79" t="s">
        <v>259</v>
      </c>
      <c r="D80" s="99">
        <v>1525</v>
      </c>
      <c r="E80" s="99">
        <v>126</v>
      </c>
      <c r="F80" s="99" t="s">
        <v>386</v>
      </c>
      <c r="G80" s="99">
        <v>7</v>
      </c>
      <c r="H80" s="99" t="s">
        <v>634</v>
      </c>
      <c r="I80" s="99">
        <v>10</v>
      </c>
      <c r="J80" s="99">
        <v>54</v>
      </c>
      <c r="K80" s="99">
        <v>53</v>
      </c>
      <c r="L80" s="99">
        <v>256</v>
      </c>
      <c r="M80" s="99">
        <v>20</v>
      </c>
      <c r="N80" s="99">
        <v>22</v>
      </c>
      <c r="O80" s="99" t="s">
        <v>634</v>
      </c>
      <c r="P80" s="159" t="s">
        <v>634</v>
      </c>
      <c r="Q80" s="99" t="s">
        <v>634</v>
      </c>
      <c r="R80" s="99" t="s">
        <v>634</v>
      </c>
      <c r="S80" s="99" t="s">
        <v>634</v>
      </c>
      <c r="T80" s="99" t="s">
        <v>634</v>
      </c>
      <c r="U80" s="99" t="s">
        <v>634</v>
      </c>
      <c r="V80" s="99" t="s">
        <v>634</v>
      </c>
      <c r="W80" s="99" t="s">
        <v>634</v>
      </c>
      <c r="X80" s="99" t="s">
        <v>634</v>
      </c>
      <c r="Y80" s="99">
        <v>15</v>
      </c>
      <c r="Z80" s="99" t="s">
        <v>634</v>
      </c>
      <c r="AA80" s="99" t="s">
        <v>634</v>
      </c>
      <c r="AB80" s="99" t="s">
        <v>634</v>
      </c>
      <c r="AC80" s="99" t="s">
        <v>634</v>
      </c>
      <c r="AD80" s="98" t="s">
        <v>364</v>
      </c>
      <c r="AE80" s="100">
        <v>0.08262295081967214</v>
      </c>
      <c r="AF80" s="100">
        <v>0.16</v>
      </c>
      <c r="AG80" s="98">
        <v>459.0163934426229</v>
      </c>
      <c r="AH80" s="98" t="s">
        <v>634</v>
      </c>
      <c r="AI80" s="100">
        <v>0.006999999999999999</v>
      </c>
      <c r="AJ80" s="100">
        <v>0.556701</v>
      </c>
      <c r="AK80" s="100">
        <v>0.552083</v>
      </c>
      <c r="AL80" s="100">
        <v>0.768769</v>
      </c>
      <c r="AM80" s="100">
        <v>0.188679</v>
      </c>
      <c r="AN80" s="100">
        <v>0.333333</v>
      </c>
      <c r="AO80" s="98" t="s">
        <v>634</v>
      </c>
      <c r="AP80" s="158" t="s">
        <v>634</v>
      </c>
      <c r="AQ80" s="100" t="s">
        <v>634</v>
      </c>
      <c r="AR80" s="100" t="s">
        <v>634</v>
      </c>
      <c r="AS80" s="98" t="s">
        <v>634</v>
      </c>
      <c r="AT80" s="98" t="s">
        <v>634</v>
      </c>
      <c r="AU80" s="98" t="s">
        <v>634</v>
      </c>
      <c r="AV80" s="98" t="s">
        <v>634</v>
      </c>
      <c r="AW80" s="98" t="s">
        <v>634</v>
      </c>
      <c r="AX80" s="98" t="s">
        <v>634</v>
      </c>
      <c r="AY80" s="98">
        <v>983.6065573770492</v>
      </c>
      <c r="AZ80" s="98" t="s">
        <v>634</v>
      </c>
      <c r="BA80" s="100" t="s">
        <v>634</v>
      </c>
      <c r="BB80" s="100" t="s">
        <v>634</v>
      </c>
      <c r="BC80" s="100" t="s">
        <v>634</v>
      </c>
      <c r="BD80" s="158" t="s">
        <v>634</v>
      </c>
      <c r="BE80" s="158" t="s">
        <v>634</v>
      </c>
      <c r="BF80" s="162">
        <v>97</v>
      </c>
      <c r="BG80" s="162">
        <v>96</v>
      </c>
      <c r="BH80" s="162">
        <v>333</v>
      </c>
      <c r="BI80" s="162">
        <v>106</v>
      </c>
      <c r="BJ80" s="162">
        <v>66</v>
      </c>
      <c r="BK80" s="97"/>
      <c r="BL80" s="97"/>
      <c r="BM80" s="97"/>
      <c r="BN80" s="97"/>
    </row>
    <row r="81" spans="1:66" ht="12.75">
      <c r="A81" s="79" t="s">
        <v>587</v>
      </c>
      <c r="B81" s="79" t="s">
        <v>322</v>
      </c>
      <c r="C81" s="79" t="s">
        <v>259</v>
      </c>
      <c r="D81" s="99">
        <v>9848</v>
      </c>
      <c r="E81" s="99">
        <v>1966</v>
      </c>
      <c r="F81" s="99" t="s">
        <v>387</v>
      </c>
      <c r="G81" s="99">
        <v>66</v>
      </c>
      <c r="H81" s="99">
        <v>26</v>
      </c>
      <c r="I81" s="99">
        <v>217</v>
      </c>
      <c r="J81" s="99">
        <v>1009</v>
      </c>
      <c r="K81" s="99">
        <v>6</v>
      </c>
      <c r="L81" s="99">
        <v>1868</v>
      </c>
      <c r="M81" s="99">
        <v>392</v>
      </c>
      <c r="N81" s="99">
        <v>424</v>
      </c>
      <c r="O81" s="99">
        <v>185</v>
      </c>
      <c r="P81" s="159">
        <v>185</v>
      </c>
      <c r="Q81" s="99">
        <v>24</v>
      </c>
      <c r="R81" s="99">
        <v>43</v>
      </c>
      <c r="S81" s="99">
        <v>54</v>
      </c>
      <c r="T81" s="99">
        <v>32</v>
      </c>
      <c r="U81" s="99">
        <v>8</v>
      </c>
      <c r="V81" s="99">
        <v>19</v>
      </c>
      <c r="W81" s="99">
        <v>89</v>
      </c>
      <c r="X81" s="99">
        <v>16</v>
      </c>
      <c r="Y81" s="99">
        <v>104</v>
      </c>
      <c r="Z81" s="99">
        <v>68</v>
      </c>
      <c r="AA81" s="99" t="s">
        <v>634</v>
      </c>
      <c r="AB81" s="99" t="s">
        <v>634</v>
      </c>
      <c r="AC81" s="99" t="s">
        <v>634</v>
      </c>
      <c r="AD81" s="98" t="s">
        <v>364</v>
      </c>
      <c r="AE81" s="100">
        <v>0.1996344435418359</v>
      </c>
      <c r="AF81" s="100">
        <v>0.08</v>
      </c>
      <c r="AG81" s="98">
        <v>670.1868399675061</v>
      </c>
      <c r="AH81" s="98">
        <v>264.01299756295697</v>
      </c>
      <c r="AI81" s="100">
        <v>0.022000000000000002</v>
      </c>
      <c r="AJ81" s="100">
        <v>0.766717</v>
      </c>
      <c r="AK81" s="100">
        <v>0.6</v>
      </c>
      <c r="AL81" s="100">
        <v>0.775748</v>
      </c>
      <c r="AM81" s="100">
        <v>0.34386</v>
      </c>
      <c r="AN81" s="100">
        <v>0.605714</v>
      </c>
      <c r="AO81" s="98">
        <v>1878.5540211210398</v>
      </c>
      <c r="AP81" s="158">
        <v>0.9016452026</v>
      </c>
      <c r="AQ81" s="100">
        <v>0.12972972972972974</v>
      </c>
      <c r="AR81" s="100">
        <v>0.5581395348837209</v>
      </c>
      <c r="AS81" s="98">
        <v>548.3346872461414</v>
      </c>
      <c r="AT81" s="98">
        <v>324.93907392363934</v>
      </c>
      <c r="AU81" s="98">
        <v>81.23476848090984</v>
      </c>
      <c r="AV81" s="98">
        <v>192.93257514216086</v>
      </c>
      <c r="AW81" s="98">
        <v>903.7367993501218</v>
      </c>
      <c r="AX81" s="98">
        <v>162.46953696181967</v>
      </c>
      <c r="AY81" s="98">
        <v>1056.0519902518279</v>
      </c>
      <c r="AZ81" s="98">
        <v>690.4955320877335</v>
      </c>
      <c r="BA81" s="100" t="s">
        <v>634</v>
      </c>
      <c r="BB81" s="100" t="s">
        <v>634</v>
      </c>
      <c r="BC81" s="100" t="s">
        <v>634</v>
      </c>
      <c r="BD81" s="158">
        <v>0.7763945769999999</v>
      </c>
      <c r="BE81" s="158">
        <v>1.041349182</v>
      </c>
      <c r="BF81" s="162">
        <v>1316</v>
      </c>
      <c r="BG81" s="162">
        <v>10</v>
      </c>
      <c r="BH81" s="162">
        <v>2408</v>
      </c>
      <c r="BI81" s="162">
        <v>1140</v>
      </c>
      <c r="BJ81" s="162">
        <v>700</v>
      </c>
      <c r="BK81" s="97"/>
      <c r="BL81" s="97"/>
      <c r="BM81" s="97"/>
      <c r="BN81" s="97"/>
    </row>
    <row r="82" spans="1:66" ht="12.75">
      <c r="A82" s="79" t="s">
        <v>602</v>
      </c>
      <c r="B82" s="79" t="s">
        <v>337</v>
      </c>
      <c r="C82" s="79" t="s">
        <v>259</v>
      </c>
      <c r="D82" s="99">
        <v>7312</v>
      </c>
      <c r="E82" s="99">
        <v>551</v>
      </c>
      <c r="F82" s="99" t="s">
        <v>386</v>
      </c>
      <c r="G82" s="99">
        <v>17</v>
      </c>
      <c r="H82" s="99">
        <v>9</v>
      </c>
      <c r="I82" s="99">
        <v>66</v>
      </c>
      <c r="J82" s="99">
        <v>448</v>
      </c>
      <c r="K82" s="99">
        <v>422</v>
      </c>
      <c r="L82" s="99">
        <v>1449</v>
      </c>
      <c r="M82" s="99">
        <v>134</v>
      </c>
      <c r="N82" s="99">
        <v>124</v>
      </c>
      <c r="O82" s="99">
        <v>76</v>
      </c>
      <c r="P82" s="159">
        <v>76</v>
      </c>
      <c r="Q82" s="99">
        <v>7</v>
      </c>
      <c r="R82" s="99">
        <v>15</v>
      </c>
      <c r="S82" s="99">
        <v>22</v>
      </c>
      <c r="T82" s="99">
        <v>10</v>
      </c>
      <c r="U82" s="99" t="s">
        <v>634</v>
      </c>
      <c r="V82" s="99">
        <v>17</v>
      </c>
      <c r="W82" s="99">
        <v>44</v>
      </c>
      <c r="X82" s="99">
        <v>22</v>
      </c>
      <c r="Y82" s="99">
        <v>53</v>
      </c>
      <c r="Z82" s="99">
        <v>24</v>
      </c>
      <c r="AA82" s="99" t="s">
        <v>634</v>
      </c>
      <c r="AB82" s="99" t="s">
        <v>634</v>
      </c>
      <c r="AC82" s="99" t="s">
        <v>634</v>
      </c>
      <c r="AD82" s="98" t="s">
        <v>364</v>
      </c>
      <c r="AE82" s="100">
        <v>0.07535557986870897</v>
      </c>
      <c r="AF82" s="100">
        <v>0.13</v>
      </c>
      <c r="AG82" s="98">
        <v>232.4945295404814</v>
      </c>
      <c r="AH82" s="98">
        <v>123.08533916849015</v>
      </c>
      <c r="AI82" s="100">
        <v>0.009000000000000001</v>
      </c>
      <c r="AJ82" s="100">
        <v>0.767123</v>
      </c>
      <c r="AK82" s="100">
        <v>0.739054</v>
      </c>
      <c r="AL82" s="100">
        <v>0.760231</v>
      </c>
      <c r="AM82" s="100">
        <v>0.309469</v>
      </c>
      <c r="AN82" s="100">
        <v>0.494024</v>
      </c>
      <c r="AO82" s="98">
        <v>1039.387308533917</v>
      </c>
      <c r="AP82" s="158">
        <v>0.7598126221</v>
      </c>
      <c r="AQ82" s="100">
        <v>0.09210526315789473</v>
      </c>
      <c r="AR82" s="100">
        <v>0.4666666666666667</v>
      </c>
      <c r="AS82" s="98">
        <v>300.87527352297593</v>
      </c>
      <c r="AT82" s="98">
        <v>136.76148796498907</v>
      </c>
      <c r="AU82" s="98" t="s">
        <v>634</v>
      </c>
      <c r="AV82" s="98">
        <v>232.4945295404814</v>
      </c>
      <c r="AW82" s="98">
        <v>601.7505470459519</v>
      </c>
      <c r="AX82" s="98">
        <v>300.87527352297593</v>
      </c>
      <c r="AY82" s="98">
        <v>724.835886214442</v>
      </c>
      <c r="AZ82" s="98">
        <v>328.2275711159737</v>
      </c>
      <c r="BA82" s="101" t="s">
        <v>634</v>
      </c>
      <c r="BB82" s="101" t="s">
        <v>634</v>
      </c>
      <c r="BC82" s="101" t="s">
        <v>634</v>
      </c>
      <c r="BD82" s="158">
        <v>0.5986459351</v>
      </c>
      <c r="BE82" s="158">
        <v>0.9510188293</v>
      </c>
      <c r="BF82" s="162">
        <v>584</v>
      </c>
      <c r="BG82" s="162">
        <v>571</v>
      </c>
      <c r="BH82" s="162">
        <v>1906</v>
      </c>
      <c r="BI82" s="162">
        <v>433</v>
      </c>
      <c r="BJ82" s="162">
        <v>251</v>
      </c>
      <c r="BK82" s="97"/>
      <c r="BL82" s="97"/>
      <c r="BM82" s="97"/>
      <c r="BN82" s="97"/>
    </row>
    <row r="83" spans="1:66" ht="12.75">
      <c r="A83" s="79" t="s">
        <v>586</v>
      </c>
      <c r="B83" s="79" t="s">
        <v>321</v>
      </c>
      <c r="C83" s="79" t="s">
        <v>259</v>
      </c>
      <c r="D83" s="99">
        <v>9536</v>
      </c>
      <c r="E83" s="99">
        <v>2115</v>
      </c>
      <c r="F83" s="99" t="s">
        <v>387</v>
      </c>
      <c r="G83" s="99">
        <v>50</v>
      </c>
      <c r="H83" s="99">
        <v>31</v>
      </c>
      <c r="I83" s="99">
        <v>253</v>
      </c>
      <c r="J83" s="99">
        <v>928</v>
      </c>
      <c r="K83" s="99">
        <v>13</v>
      </c>
      <c r="L83" s="99">
        <v>1892</v>
      </c>
      <c r="M83" s="99">
        <v>453</v>
      </c>
      <c r="N83" s="99">
        <v>409</v>
      </c>
      <c r="O83" s="99">
        <v>161</v>
      </c>
      <c r="P83" s="159">
        <v>161</v>
      </c>
      <c r="Q83" s="99">
        <v>26</v>
      </c>
      <c r="R83" s="99">
        <v>40</v>
      </c>
      <c r="S83" s="99">
        <v>31</v>
      </c>
      <c r="T83" s="99">
        <v>33</v>
      </c>
      <c r="U83" s="99">
        <v>7</v>
      </c>
      <c r="V83" s="99">
        <v>41</v>
      </c>
      <c r="W83" s="99">
        <v>76</v>
      </c>
      <c r="X83" s="99">
        <v>22</v>
      </c>
      <c r="Y83" s="99">
        <v>72</v>
      </c>
      <c r="Z83" s="99">
        <v>64</v>
      </c>
      <c r="AA83" s="99" t="s">
        <v>634</v>
      </c>
      <c r="AB83" s="99" t="s">
        <v>634</v>
      </c>
      <c r="AC83" s="99" t="s">
        <v>634</v>
      </c>
      <c r="AD83" s="98" t="s">
        <v>364</v>
      </c>
      <c r="AE83" s="100">
        <v>0.22179110738255034</v>
      </c>
      <c r="AF83" s="100">
        <v>0.05</v>
      </c>
      <c r="AG83" s="98">
        <v>524.3288590604027</v>
      </c>
      <c r="AH83" s="98">
        <v>325.0838926174497</v>
      </c>
      <c r="AI83" s="100">
        <v>0.027000000000000003</v>
      </c>
      <c r="AJ83" s="100">
        <v>0.70948</v>
      </c>
      <c r="AK83" s="100">
        <v>0.565217</v>
      </c>
      <c r="AL83" s="100">
        <v>0.793957</v>
      </c>
      <c r="AM83" s="100">
        <v>0.369193</v>
      </c>
      <c r="AN83" s="100">
        <v>0.587644</v>
      </c>
      <c r="AO83" s="98">
        <v>1688.3389261744967</v>
      </c>
      <c r="AP83" s="158">
        <v>0.7710083770999999</v>
      </c>
      <c r="AQ83" s="100">
        <v>0.16149068322981366</v>
      </c>
      <c r="AR83" s="100">
        <v>0.65</v>
      </c>
      <c r="AS83" s="98">
        <v>325.0838926174497</v>
      </c>
      <c r="AT83" s="98">
        <v>346.0570469798658</v>
      </c>
      <c r="AU83" s="98">
        <v>73.40604026845638</v>
      </c>
      <c r="AV83" s="98">
        <v>429.9496644295302</v>
      </c>
      <c r="AW83" s="98">
        <v>796.9798657718121</v>
      </c>
      <c r="AX83" s="98">
        <v>230.70469798657717</v>
      </c>
      <c r="AY83" s="98">
        <v>755.0335570469799</v>
      </c>
      <c r="AZ83" s="98">
        <v>671.1409395973154</v>
      </c>
      <c r="BA83" s="100" t="s">
        <v>634</v>
      </c>
      <c r="BB83" s="100" t="s">
        <v>634</v>
      </c>
      <c r="BC83" s="100" t="s">
        <v>634</v>
      </c>
      <c r="BD83" s="158">
        <v>0.6565117644999999</v>
      </c>
      <c r="BE83" s="158">
        <v>0.8997309113</v>
      </c>
      <c r="BF83" s="162">
        <v>1308</v>
      </c>
      <c r="BG83" s="162">
        <v>23</v>
      </c>
      <c r="BH83" s="162">
        <v>2383</v>
      </c>
      <c r="BI83" s="162">
        <v>1227</v>
      </c>
      <c r="BJ83" s="162">
        <v>696</v>
      </c>
      <c r="BK83" s="97"/>
      <c r="BL83" s="97"/>
      <c r="BM83" s="97"/>
      <c r="BN83" s="97"/>
    </row>
    <row r="84" spans="1:66" ht="12.75">
      <c r="A84" s="79" t="s">
        <v>590</v>
      </c>
      <c r="B84" s="79" t="s">
        <v>325</v>
      </c>
      <c r="C84" s="79" t="s">
        <v>259</v>
      </c>
      <c r="D84" s="99">
        <v>5399</v>
      </c>
      <c r="E84" s="99">
        <v>1136</v>
      </c>
      <c r="F84" s="99" t="s">
        <v>387</v>
      </c>
      <c r="G84" s="99">
        <v>28</v>
      </c>
      <c r="H84" s="99">
        <v>19</v>
      </c>
      <c r="I84" s="99">
        <v>144</v>
      </c>
      <c r="J84" s="99">
        <v>650</v>
      </c>
      <c r="K84" s="99">
        <v>634</v>
      </c>
      <c r="L84" s="99">
        <v>1150</v>
      </c>
      <c r="M84" s="99">
        <v>307</v>
      </c>
      <c r="N84" s="99">
        <v>262</v>
      </c>
      <c r="O84" s="99">
        <v>80</v>
      </c>
      <c r="P84" s="159">
        <v>80</v>
      </c>
      <c r="Q84" s="99">
        <v>14</v>
      </c>
      <c r="R84" s="99">
        <v>24</v>
      </c>
      <c r="S84" s="99">
        <v>16</v>
      </c>
      <c r="T84" s="99">
        <v>14</v>
      </c>
      <c r="U84" s="99" t="s">
        <v>634</v>
      </c>
      <c r="V84" s="99">
        <v>17</v>
      </c>
      <c r="W84" s="99">
        <v>47</v>
      </c>
      <c r="X84" s="99">
        <v>16</v>
      </c>
      <c r="Y84" s="99">
        <v>44</v>
      </c>
      <c r="Z84" s="99">
        <v>29</v>
      </c>
      <c r="AA84" s="99" t="s">
        <v>634</v>
      </c>
      <c r="AB84" s="99" t="s">
        <v>634</v>
      </c>
      <c r="AC84" s="99" t="s">
        <v>634</v>
      </c>
      <c r="AD84" s="98" t="s">
        <v>364</v>
      </c>
      <c r="AE84" s="100">
        <v>0.21040933506204854</v>
      </c>
      <c r="AF84" s="100">
        <v>0.06</v>
      </c>
      <c r="AG84" s="98">
        <v>518.614558251528</v>
      </c>
      <c r="AH84" s="98">
        <v>351.91702167067973</v>
      </c>
      <c r="AI84" s="100">
        <v>0.027000000000000003</v>
      </c>
      <c r="AJ84" s="100">
        <v>0.799508</v>
      </c>
      <c r="AK84" s="100">
        <v>0.804569</v>
      </c>
      <c r="AL84" s="100">
        <v>0.835756</v>
      </c>
      <c r="AM84" s="100">
        <v>0.392082</v>
      </c>
      <c r="AN84" s="100">
        <v>0.59276</v>
      </c>
      <c r="AO84" s="98">
        <v>1481.7558807186515</v>
      </c>
      <c r="AP84" s="158">
        <v>0.6798291779</v>
      </c>
      <c r="AQ84" s="100">
        <v>0.175</v>
      </c>
      <c r="AR84" s="100">
        <v>0.5833333333333334</v>
      </c>
      <c r="AS84" s="98">
        <v>296.3511761437303</v>
      </c>
      <c r="AT84" s="98">
        <v>259.307279125764</v>
      </c>
      <c r="AU84" s="98" t="s">
        <v>634</v>
      </c>
      <c r="AV84" s="98">
        <v>314.87312465271344</v>
      </c>
      <c r="AW84" s="98">
        <v>870.5315799222078</v>
      </c>
      <c r="AX84" s="98">
        <v>296.3511761437303</v>
      </c>
      <c r="AY84" s="98">
        <v>814.9657343952584</v>
      </c>
      <c r="AZ84" s="98">
        <v>537.1365067605112</v>
      </c>
      <c r="BA84" s="100" t="s">
        <v>634</v>
      </c>
      <c r="BB84" s="100" t="s">
        <v>634</v>
      </c>
      <c r="BC84" s="100" t="s">
        <v>634</v>
      </c>
      <c r="BD84" s="158">
        <v>0.5390622711</v>
      </c>
      <c r="BE84" s="158">
        <v>0.8461062622</v>
      </c>
      <c r="BF84" s="162">
        <v>813</v>
      </c>
      <c r="BG84" s="162">
        <v>788</v>
      </c>
      <c r="BH84" s="162">
        <v>1376</v>
      </c>
      <c r="BI84" s="162">
        <v>783</v>
      </c>
      <c r="BJ84" s="162">
        <v>442</v>
      </c>
      <c r="BK84" s="97"/>
      <c r="BL84" s="97"/>
      <c r="BM84" s="97"/>
      <c r="BN84" s="97"/>
    </row>
    <row r="85" spans="1:66" ht="12.75">
      <c r="A85" s="79" t="s">
        <v>478</v>
      </c>
      <c r="B85" s="94" t="s">
        <v>259</v>
      </c>
      <c r="C85" s="94" t="s">
        <v>7</v>
      </c>
      <c r="D85" s="99">
        <v>671572</v>
      </c>
      <c r="E85" s="99">
        <v>102391</v>
      </c>
      <c r="F85" s="99">
        <v>54263.72999999998</v>
      </c>
      <c r="G85" s="99">
        <v>2950</v>
      </c>
      <c r="H85" s="99">
        <v>1549</v>
      </c>
      <c r="I85" s="99">
        <v>11366</v>
      </c>
      <c r="J85" s="99">
        <v>55642</v>
      </c>
      <c r="K85" s="99">
        <v>21130</v>
      </c>
      <c r="L85" s="99">
        <v>126474</v>
      </c>
      <c r="M85" s="99">
        <v>23205</v>
      </c>
      <c r="N85" s="99">
        <v>22095</v>
      </c>
      <c r="O85" s="99">
        <v>11842</v>
      </c>
      <c r="P85" s="99">
        <v>11842</v>
      </c>
      <c r="Q85" s="99">
        <v>1476</v>
      </c>
      <c r="R85" s="99">
        <v>2396</v>
      </c>
      <c r="S85" s="99">
        <v>2690</v>
      </c>
      <c r="T85" s="99">
        <v>2111</v>
      </c>
      <c r="U85" s="99">
        <v>398</v>
      </c>
      <c r="V85" s="99">
        <v>2308</v>
      </c>
      <c r="W85" s="99">
        <v>4221</v>
      </c>
      <c r="X85" s="99">
        <v>1823</v>
      </c>
      <c r="Y85" s="99">
        <v>5340</v>
      </c>
      <c r="Z85" s="99">
        <v>3677</v>
      </c>
      <c r="AA85" s="99">
        <v>0</v>
      </c>
      <c r="AB85" s="99">
        <v>0</v>
      </c>
      <c r="AC85" s="99">
        <v>0</v>
      </c>
      <c r="AD85" s="98">
        <v>0</v>
      </c>
      <c r="AE85" s="101">
        <v>0.15246466499496703</v>
      </c>
      <c r="AF85" s="101">
        <v>0.08080106079467277</v>
      </c>
      <c r="AG85" s="98">
        <v>439.2678670343612</v>
      </c>
      <c r="AH85" s="98">
        <v>230.65285628346626</v>
      </c>
      <c r="AI85" s="101">
        <v>0.01692446975156796</v>
      </c>
      <c r="AJ85" s="101">
        <v>0.7389670239186156</v>
      </c>
      <c r="AK85" s="101">
        <v>0.7763530146599552</v>
      </c>
      <c r="AL85" s="101">
        <v>0.7613228672557848</v>
      </c>
      <c r="AM85" s="101">
        <v>0.34236772994186904</v>
      </c>
      <c r="AN85" s="101">
        <v>0.5628438964744243</v>
      </c>
      <c r="AO85" s="98">
        <v>1763.3254513291204</v>
      </c>
      <c r="AP85" s="98">
        <v>0</v>
      </c>
      <c r="AQ85" s="101">
        <v>0.1246411079209593</v>
      </c>
      <c r="AR85" s="101">
        <v>0.6160267111853088</v>
      </c>
      <c r="AS85" s="98">
        <v>400.55273299065476</v>
      </c>
      <c r="AT85" s="98">
        <v>314.3371075625547</v>
      </c>
      <c r="AU85" s="98">
        <v>59.26393595921212</v>
      </c>
      <c r="AV85" s="98">
        <v>343.67126681874765</v>
      </c>
      <c r="AW85" s="98">
        <v>628.5253107634029</v>
      </c>
      <c r="AX85" s="98">
        <v>271.45265139106453</v>
      </c>
      <c r="AY85" s="98">
        <v>795.149291513047</v>
      </c>
      <c r="AZ85" s="98">
        <v>547.5213379950326</v>
      </c>
      <c r="BA85" s="101">
        <v>0</v>
      </c>
      <c r="BB85" s="101">
        <v>0</v>
      </c>
      <c r="BC85" s="101">
        <v>0</v>
      </c>
      <c r="BD85" s="98">
        <v>0</v>
      </c>
      <c r="BE85" s="98">
        <v>0</v>
      </c>
      <c r="BF85" s="99">
        <v>75297</v>
      </c>
      <c r="BG85" s="99">
        <v>27217</v>
      </c>
      <c r="BH85" s="99">
        <v>166124</v>
      </c>
      <c r="BI85" s="99">
        <v>67778</v>
      </c>
      <c r="BJ85" s="99">
        <v>39256</v>
      </c>
      <c r="BK85" s="97"/>
      <c r="BL85" s="97"/>
      <c r="BM85" s="97"/>
      <c r="BN85" s="97"/>
    </row>
    <row r="86" spans="1:66" ht="12.75">
      <c r="A86" s="79" t="s">
        <v>24</v>
      </c>
      <c r="B86" s="94" t="s">
        <v>7</v>
      </c>
      <c r="C86" s="94" t="s">
        <v>7</v>
      </c>
      <c r="D86" s="99">
        <v>54615830</v>
      </c>
      <c r="E86" s="99">
        <v>8737890</v>
      </c>
      <c r="F86" s="99">
        <v>8198344.169999988</v>
      </c>
      <c r="G86" s="99">
        <v>243379</v>
      </c>
      <c r="H86" s="99">
        <v>127868</v>
      </c>
      <c r="I86" s="99">
        <v>870616</v>
      </c>
      <c r="J86" s="99">
        <v>4592627</v>
      </c>
      <c r="K86" s="99">
        <v>1679592</v>
      </c>
      <c r="L86" s="99">
        <v>10150944</v>
      </c>
      <c r="M86" s="99">
        <v>2959539</v>
      </c>
      <c r="N86" s="99">
        <v>1629320</v>
      </c>
      <c r="O86" s="99">
        <v>989730</v>
      </c>
      <c r="P86" s="99">
        <v>989730</v>
      </c>
      <c r="Q86" s="99">
        <v>108072</v>
      </c>
      <c r="R86" s="99">
        <v>238330</v>
      </c>
      <c r="S86" s="99">
        <v>206300</v>
      </c>
      <c r="T86" s="99">
        <v>154264</v>
      </c>
      <c r="U86" s="99">
        <v>38486</v>
      </c>
      <c r="V86" s="99">
        <v>176535</v>
      </c>
      <c r="W86" s="99">
        <v>307276</v>
      </c>
      <c r="X86" s="99">
        <v>221506</v>
      </c>
      <c r="Y86" s="99">
        <v>578574</v>
      </c>
      <c r="Z86" s="99">
        <v>318377</v>
      </c>
      <c r="AA86" s="99">
        <v>0</v>
      </c>
      <c r="AB86" s="99">
        <v>0</v>
      </c>
      <c r="AC86" s="99">
        <v>0</v>
      </c>
      <c r="AD86" s="98">
        <v>0</v>
      </c>
      <c r="AE86" s="101">
        <v>0.1599882305185145</v>
      </c>
      <c r="AF86" s="101">
        <v>0.15010930292554353</v>
      </c>
      <c r="AG86" s="98">
        <v>445.6198871279627</v>
      </c>
      <c r="AH86" s="98">
        <v>234.12259778895606</v>
      </c>
      <c r="AI86" s="101">
        <v>0.015940726342527432</v>
      </c>
      <c r="AJ86" s="101">
        <v>0.7248631360507991</v>
      </c>
      <c r="AK86" s="101">
        <v>0.7467412166569077</v>
      </c>
      <c r="AL86" s="101">
        <v>0.7559681673907895</v>
      </c>
      <c r="AM86" s="101">
        <v>0.5147293797466616</v>
      </c>
      <c r="AN86" s="101">
        <v>0.5752927626212945</v>
      </c>
      <c r="AO86" s="98">
        <v>1812.1669120472948</v>
      </c>
      <c r="AP86" s="98">
        <v>1</v>
      </c>
      <c r="AQ86" s="101">
        <v>0.10919341638628717</v>
      </c>
      <c r="AR86" s="101">
        <v>0.4534552930810221</v>
      </c>
      <c r="AS86" s="98">
        <v>377.7293140102421</v>
      </c>
      <c r="AT86" s="98">
        <v>282.45290788403287</v>
      </c>
      <c r="AU86" s="98">
        <v>70.46674929228394</v>
      </c>
      <c r="AV86" s="98">
        <v>323.23046266988894</v>
      </c>
      <c r="AW86" s="98">
        <v>562.6134400960308</v>
      </c>
      <c r="AX86" s="98">
        <v>405.57105879375996</v>
      </c>
      <c r="AY86" s="98">
        <v>1059.3522061277838</v>
      </c>
      <c r="AZ86" s="98">
        <v>582.9390489900089</v>
      </c>
      <c r="BA86" s="101">
        <v>0</v>
      </c>
      <c r="BB86" s="101">
        <v>0</v>
      </c>
      <c r="BC86" s="101">
        <v>0</v>
      </c>
      <c r="BD86" s="98">
        <v>0</v>
      </c>
      <c r="BE86" s="98">
        <v>0</v>
      </c>
      <c r="BF86" s="99">
        <v>6335854</v>
      </c>
      <c r="BG86" s="99">
        <v>2249229</v>
      </c>
      <c r="BH86" s="99">
        <v>13427740</v>
      </c>
      <c r="BI86" s="99">
        <v>5749699</v>
      </c>
      <c r="BJ86" s="99">
        <v>2832158</v>
      </c>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369</v>
      </c>
      <c r="O4" s="75" t="s">
        <v>368</v>
      </c>
      <c r="P4" s="75" t="s">
        <v>495</v>
      </c>
      <c r="Q4" s="75" t="s">
        <v>496</v>
      </c>
      <c r="R4" s="75" t="s">
        <v>497</v>
      </c>
      <c r="S4" s="75" t="s">
        <v>498</v>
      </c>
      <c r="T4" s="39" t="s">
        <v>278</v>
      </c>
      <c r="U4" s="40" t="s">
        <v>279</v>
      </c>
      <c r="V4" s="41" t="s">
        <v>7</v>
      </c>
      <c r="W4" s="24" t="s">
        <v>2</v>
      </c>
      <c r="X4" s="24" t="s">
        <v>3</v>
      </c>
      <c r="Y4" s="75" t="s">
        <v>640</v>
      </c>
      <c r="Z4" s="75" t="s">
        <v>639</v>
      </c>
      <c r="AA4" s="26" t="s">
        <v>280</v>
      </c>
      <c r="AB4" s="24" t="s">
        <v>5</v>
      </c>
      <c r="AC4" s="75" t="s">
        <v>35</v>
      </c>
      <c r="AD4" s="24" t="s">
        <v>6</v>
      </c>
      <c r="AE4" s="24" t="s">
        <v>281</v>
      </c>
      <c r="AF4" s="24" t="s">
        <v>16</v>
      </c>
      <c r="AG4" s="24" t="s">
        <v>15</v>
      </c>
      <c r="AH4" s="24" t="s">
        <v>14</v>
      </c>
      <c r="AI4" s="25" t="s">
        <v>30</v>
      </c>
      <c r="AJ4" s="47" t="s">
        <v>10</v>
      </c>
      <c r="AK4" s="26" t="s">
        <v>21</v>
      </c>
      <c r="AL4" s="25" t="s">
        <v>22</v>
      </c>
      <c r="AQ4" s="102" t="s">
        <v>410</v>
      </c>
      <c r="AR4" s="102" t="s">
        <v>412</v>
      </c>
      <c r="AS4" s="102" t="s">
        <v>411</v>
      </c>
      <c r="AY4" s="102" t="s">
        <v>492</v>
      </c>
      <c r="AZ4" s="102" t="s">
        <v>493</v>
      </c>
      <c r="BA4" s="102" t="s">
        <v>494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433</v>
      </c>
      <c r="BA5" s="103" t="s">
        <v>364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418</v>
      </c>
      <c r="BA6" s="103" t="s">
        <v>364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912</v>
      </c>
      <c r="E7" s="38">
        <f>IF(LEFT(VLOOKUP($B7,'Indicator chart'!$D$1:$J$36,5,FALSE),1)=" "," ",VLOOKUP($B7,'Indicator chart'!$D$1:$J$36,5,FALSE))</f>
        <v>0.06661310349864875</v>
      </c>
      <c r="F7" s="38">
        <f>IF(LEFT(VLOOKUP($B7,'Indicator chart'!$D$1:$J$36,6,FALSE),1)=" "," ",VLOOKUP($B7,'Indicator chart'!$D$1:$J$36,6,FALSE))</f>
        <v>0.06255663873596934</v>
      </c>
      <c r="G7" s="38">
        <f>IF(LEFT(VLOOKUP($B7,'Indicator chart'!$D$1:$J$36,7,FALSE),1)=" "," ",VLOOKUP($B7,'Indicator chart'!$D$1:$J$36,7,FALSE))</f>
        <v>0.07091271077443317</v>
      </c>
      <c r="H7" s="50">
        <f aca="true" t="shared" si="0" ref="H7:H31">IF(LEFT(F7,1)=" ",4,IF(AND(ABS(N7-E7)&gt;SQRT((E7-G7)^2+(N7-R7)^2),E7&lt;N7),1,IF(AND(ABS(N7-E7)&gt;SQRT((E7-F7)^2+(N7-S7)^2),E7&gt;N7),3,2)))</f>
        <v>1</v>
      </c>
      <c r="I7" s="38">
        <v>0.035051897168159485</v>
      </c>
      <c r="J7" s="38">
        <v>0.11181817948818207</v>
      </c>
      <c r="K7" s="38">
        <v>0.16266271471977234</v>
      </c>
      <c r="L7" s="38">
        <v>0.1940711885690689</v>
      </c>
      <c r="M7" s="38">
        <v>0.2248888909816742</v>
      </c>
      <c r="N7" s="80">
        <f>VLOOKUP('Hide - Control'!B$3,'All practice data'!A:CA,A7+29,FALSE)</f>
        <v>0.15246466499496703</v>
      </c>
      <c r="O7" s="80">
        <f>VLOOKUP('Hide - Control'!C$3,'All practice data'!A:CA,A7+29,FALSE)</f>
        <v>0.1599882305185145</v>
      </c>
      <c r="P7" s="38">
        <f>VLOOKUP('Hide - Control'!$B$4,'All practice data'!B:BC,A7+2,FALSE)</f>
        <v>102391</v>
      </c>
      <c r="Q7" s="38">
        <f>VLOOKUP('Hide - Control'!$B$4,'All practice data'!B:BC,3,FALSE)</f>
        <v>671572</v>
      </c>
      <c r="R7" s="38">
        <f>+((2*P7+1.96^2-1.96*SQRT(1.96^2+4*P7*(1-P7/Q7)))/(2*(Q7+1.96^2)))</f>
        <v>0.15160690096602614</v>
      </c>
      <c r="S7" s="38">
        <f>+((2*P7+1.96^2+1.96*SQRT(1.96^2+4*P7*(1-P7/Q7)))/(2*(Q7+1.96^2)))</f>
        <v>0.15332640502084008</v>
      </c>
      <c r="T7" s="53">
        <f>IF($C7=1,M7,I7)</f>
        <v>0.2248888909816742</v>
      </c>
      <c r="U7" s="51">
        <f aca="true" t="shared" si="1" ref="U7:U15">IF($C7=1,I7,M7)</f>
        <v>0.035051897168159485</v>
      </c>
      <c r="V7" s="7">
        <v>1</v>
      </c>
      <c r="W7" s="27">
        <f aca="true" t="shared" si="2" ref="W7:W31">IF((K7-I7)&gt;(M7-K7),I7,(K7-(M7-K7)))</f>
        <v>0.035051897168159485</v>
      </c>
      <c r="X7" s="27">
        <f aca="true" t="shared" si="3" ref="X7:X31">IF(W7=I7,K7+(K7-I7),M7)</f>
        <v>0.2902735322713852</v>
      </c>
      <c r="Y7" s="27">
        <f aca="true" t="shared" si="4" ref="Y7:Y31">IF(C7=1,W7,X7)</f>
        <v>0.035051897168159485</v>
      </c>
      <c r="Z7" s="27">
        <f aca="true" t="shared" si="5" ref="Z7:Z31">IF(C7=1,X7,W7)</f>
        <v>0.2902735322713852</v>
      </c>
      <c r="AA7" s="32">
        <f aca="true" t="shared" si="6" ref="AA7:AA31">IF(ISERROR(IF(C7=1,(I7-$Y7)/($Z7-$Y7),(U7-$Y7)/($Z7-$Y7))),"",IF(C7=1,(I7-$Y7)/($Z7-$Y7),(U7-$Y7)/($Z7-$Y7)))</f>
        <v>0</v>
      </c>
      <c r="AB7" s="33">
        <f aca="true" t="shared" si="7" ref="AB7:AB31">IF(ISERROR(IF(C7=1,(J7-$Y7)/($Z7-$Y7),(L7-$Y7)/($Z7-$Y7))),"",IF(C7=1,(J7-$Y7)/($Z7-$Y7),(L7-$Y7)/($Z7-$Y7)))</f>
        <v>0.3007828168210507</v>
      </c>
      <c r="AC7" s="33">
        <v>0.5</v>
      </c>
      <c r="AD7" s="33">
        <f aca="true" t="shared" si="8" ref="AD7:AD31">IF(ISERROR(IF(C7=1,(L7-$Y7)/($Z7-$Y7),(J7-$Y7)/($Z7-$Y7))),"",IF(C7=1,(L7-$Y7)/($Z7-$Y7),(J7-$Y7)/($Z7-$Y7)))</f>
        <v>0.6230635241271503</v>
      </c>
      <c r="AE7" s="33">
        <f aca="true" t="shared" si="9" ref="AE7:AE31">IF(ISERROR(IF(C7=1,(M7-$Y7)/($Z7-$Y7),(I7-$Y7)/($Z7-$Y7))),"",IF(C7=1,(M7-$Y7)/($Z7-$Y7),(I7-$Y7)/($Z7-$Y7)))</f>
        <v>0.7438123093942806</v>
      </c>
      <c r="AF7" s="33">
        <f aca="true" t="shared" si="10" ref="AF7:AF30">IF(E7=" ",-999,IF(H7=4,(E7-$Y7)/($Z7-$Y7),-999))</f>
        <v>-999</v>
      </c>
      <c r="AG7" s="33">
        <f aca="true" t="shared" si="11" ref="AG7:AG31">IF(E7=" ",-999,IF(H7=2,(E7-$Y7)/($Z7-$Y7),-999))</f>
        <v>-999</v>
      </c>
      <c r="AH7" s="33">
        <f aca="true" t="shared" si="12" ref="AH7:AH31">IF(E7=" ",-999,IF(MAX(AK7:AL7)&gt;-999,MAX(AK7:AL7),-999))</f>
        <v>0.12366195490333011</v>
      </c>
      <c r="AI7" s="34">
        <f aca="true" t="shared" si="13" ref="AI7:AI31">IF(ISERROR((O7-$Y7)/($Z7-$Y7)),-999,(O7-$Y7)/($Z7-$Y7))</f>
        <v>0.48952093461756824</v>
      </c>
      <c r="AJ7" s="4">
        <v>2.7020512924389086</v>
      </c>
      <c r="AK7" s="32">
        <f aca="true" t="shared" si="14" ref="AK7:AK31">IF(H7=1,(E7-$Y7)/($Z7-$Y7),-999)</f>
        <v>0.12366195490333011</v>
      </c>
      <c r="AL7" s="34">
        <f aca="true" t="shared" si="15" ref="AL7:AL31">IF(H7=3,(E7-$Y7)/($Z7-$Y7),-999)</f>
        <v>-999</v>
      </c>
      <c r="AQ7" s="103">
        <v>2</v>
      </c>
      <c r="AR7" s="103">
        <v>0.2422</v>
      </c>
      <c r="AS7" s="103">
        <v>7.2247</v>
      </c>
      <c r="AY7" s="103" t="s">
        <v>68</v>
      </c>
      <c r="AZ7" s="103" t="s">
        <v>417</v>
      </c>
      <c r="BA7" s="103" t="s">
        <v>364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0.05614394833532244</v>
      </c>
      <c r="G8" s="38">
        <f>IF(LEFT(VLOOKUP($B8,'Indicator chart'!$D$1:$J$36,7,FALSE),1)=" "," ",VLOOKUP($B8,'Indicator chart'!$D$1:$J$36,7,FALSE))</f>
        <v>0.06410290431903756</v>
      </c>
      <c r="H8" s="50">
        <f t="shared" si="0"/>
        <v>1</v>
      </c>
      <c r="I8" s="38">
        <v>0.03999999910593033</v>
      </c>
      <c r="J8" s="38">
        <v>0.05999999865889549</v>
      </c>
      <c r="K8" s="38">
        <v>0.07000000029802322</v>
      </c>
      <c r="L8" s="38">
        <v>0.09000000357627869</v>
      </c>
      <c r="M8" s="38">
        <v>0.23000000417232513</v>
      </c>
      <c r="N8" s="80">
        <f>VLOOKUP('Hide - Control'!B$3,'All practice data'!A:CA,A8+29,FALSE)</f>
        <v>0.08080106079467277</v>
      </c>
      <c r="O8" s="80">
        <f>VLOOKUP('Hide - Control'!C$3,'All practice data'!A:CA,A8+29,FALSE)</f>
        <v>0.15010930292554353</v>
      </c>
      <c r="P8" s="38">
        <f>VLOOKUP('Hide - Control'!$B$4,'All practice data'!B:BC,A8+2,FALSE)</f>
        <v>54263.72999999998</v>
      </c>
      <c r="Q8" s="38">
        <f>VLOOKUP('Hide - Control'!$B$4,'All practice data'!B:BC,3,FALSE)</f>
        <v>671572</v>
      </c>
      <c r="R8" s="38">
        <f>+((2*P8+1.96^2-1.96*SQRT(1.96^2+4*P8*(1-P8/Q8)))/(2*(Q8+1.96^2)))</f>
        <v>0.0801516431049406</v>
      </c>
      <c r="S8" s="38">
        <f>+((2*P8+1.96^2+1.96*SQRT(1.96^2+4*P8*(1-P8/Q8)))/(2*(Q8+1.96^2)))</f>
        <v>0.08145527435270482</v>
      </c>
      <c r="T8" s="53">
        <f aca="true" t="shared" si="16" ref="T8:T15">IF($C8=1,M8,I8)</f>
        <v>0.23000000417232513</v>
      </c>
      <c r="U8" s="51">
        <f t="shared" si="1"/>
        <v>0.03999999910593033</v>
      </c>
      <c r="V8" s="7"/>
      <c r="W8" s="27">
        <f t="shared" si="2"/>
        <v>-0.09000000357627869</v>
      </c>
      <c r="X8" s="27">
        <f t="shared" si="3"/>
        <v>0.23000000417232513</v>
      </c>
      <c r="Y8" s="27">
        <f t="shared" si="4"/>
        <v>-0.09000000357627869</v>
      </c>
      <c r="Z8" s="27">
        <f t="shared" si="5"/>
        <v>0.23000000417232513</v>
      </c>
      <c r="AA8" s="32">
        <f t="shared" si="6"/>
        <v>0.40624999854480853</v>
      </c>
      <c r="AB8" s="33">
        <f t="shared" si="7"/>
        <v>0.46874999563442554</v>
      </c>
      <c r="AC8" s="33">
        <v>0.5</v>
      </c>
      <c r="AD8" s="33">
        <f t="shared" si="8"/>
        <v>0.5625000087311489</v>
      </c>
      <c r="AE8" s="33">
        <f t="shared" si="9"/>
        <v>1</v>
      </c>
      <c r="AF8" s="33">
        <f t="shared" si="10"/>
        <v>-999</v>
      </c>
      <c r="AG8" s="33">
        <f t="shared" si="11"/>
        <v>-999</v>
      </c>
      <c r="AH8" s="33">
        <f t="shared" si="12"/>
        <v>0.468749999825377</v>
      </c>
      <c r="AI8" s="34">
        <f t="shared" si="13"/>
        <v>0.7503415646491335</v>
      </c>
      <c r="AJ8" s="4">
        <v>3.778046717820832</v>
      </c>
      <c r="AK8" s="32">
        <f t="shared" si="14"/>
        <v>0.468749999825377</v>
      </c>
      <c r="AL8" s="34">
        <f t="shared" si="15"/>
        <v>-999</v>
      </c>
      <c r="AQ8" s="103">
        <v>3</v>
      </c>
      <c r="AR8" s="103">
        <v>0.6187</v>
      </c>
      <c r="AS8" s="103">
        <v>8.7673</v>
      </c>
      <c r="AY8" s="103" t="s">
        <v>118</v>
      </c>
      <c r="AZ8" s="103" t="s">
        <v>119</v>
      </c>
      <c r="BA8" s="103" t="s">
        <v>364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32</v>
      </c>
      <c r="E9" s="38">
        <f>IF(LEFT(VLOOKUP($B9,'Indicator chart'!$D$1:$J$36,5,FALSE),1)=" "," ",VLOOKUP($B9,'Indicator chart'!$D$1:$J$36,5,FALSE))</f>
        <v>233.73018771455702</v>
      </c>
      <c r="F9" s="38">
        <f>IF(LEFT(VLOOKUP($B9,'Indicator chart'!$D$1:$J$36,6,FALSE),1)=" "," ",VLOOKUP($B9,'Indicator chart'!$D$1:$J$36,6,FALSE))</f>
        <v>159.84252298820553</v>
      </c>
      <c r="G9" s="38">
        <f>IF(LEFT(VLOOKUP($B9,'Indicator chart'!$D$1:$J$36,7,FALSE),1)=" "," ",VLOOKUP($B9,'Indicator chart'!$D$1:$J$36,7,FALSE))</f>
        <v>329.9700882934556</v>
      </c>
      <c r="H9" s="50">
        <f t="shared" si="0"/>
        <v>1</v>
      </c>
      <c r="I9" s="38">
        <v>92.60600280761719</v>
      </c>
      <c r="J9" s="38">
        <v>344.283447265625</v>
      </c>
      <c r="K9" s="38">
        <v>437.828369140625</v>
      </c>
      <c r="L9" s="38">
        <v>528.1286010742188</v>
      </c>
      <c r="M9" s="38">
        <v>825.3095092773438</v>
      </c>
      <c r="N9" s="80">
        <f>VLOOKUP('Hide - Control'!B$3,'All practice data'!A:CA,A9+29,FALSE)</f>
        <v>439.2678670343612</v>
      </c>
      <c r="O9" s="80">
        <f>VLOOKUP('Hide - Control'!C$3,'All practice data'!A:CA,A9+29,FALSE)</f>
        <v>445.6198871279627</v>
      </c>
      <c r="P9" s="38">
        <f>VLOOKUP('Hide - Control'!$B$4,'All practice data'!B:BC,A9+2,FALSE)</f>
        <v>2950</v>
      </c>
      <c r="Q9" s="38">
        <f>VLOOKUP('Hide - Control'!$B$4,'All practice data'!B:BC,3,FALSE)</f>
        <v>671572</v>
      </c>
      <c r="R9" s="38">
        <f>100000*(P9*(1-1/(9*P9)-1.96/(3*SQRT(P9)))^3)/Q9</f>
        <v>423.5576825928593</v>
      </c>
      <c r="S9" s="38">
        <f>100000*((P9+1)*(1-1/(9*(P9+1))+1.96/(3*SQRT(P9+1)))^3)/Q9</f>
        <v>455.41171620310513</v>
      </c>
      <c r="T9" s="53">
        <f t="shared" si="16"/>
        <v>825.3095092773438</v>
      </c>
      <c r="U9" s="51">
        <f t="shared" si="1"/>
        <v>92.60600280761719</v>
      </c>
      <c r="V9" s="7"/>
      <c r="W9" s="27">
        <f t="shared" si="2"/>
        <v>50.34722900390625</v>
      </c>
      <c r="X9" s="27">
        <f t="shared" si="3"/>
        <v>825.3095092773438</v>
      </c>
      <c r="Y9" s="27">
        <f t="shared" si="4"/>
        <v>50.34722900390625</v>
      </c>
      <c r="Z9" s="27">
        <f t="shared" si="5"/>
        <v>825.3095092773438</v>
      </c>
      <c r="AA9" s="32">
        <f t="shared" si="6"/>
        <v>0.054530104083001775</v>
      </c>
      <c r="AB9" s="33">
        <f t="shared" si="7"/>
        <v>0.3792910000187446</v>
      </c>
      <c r="AC9" s="33">
        <v>0.5</v>
      </c>
      <c r="AD9" s="33">
        <f t="shared" si="8"/>
        <v>0.6165220995036458</v>
      </c>
      <c r="AE9" s="33">
        <f t="shared" si="9"/>
        <v>1</v>
      </c>
      <c r="AF9" s="33">
        <f t="shared" si="10"/>
        <v>-999</v>
      </c>
      <c r="AG9" s="33">
        <f t="shared" si="11"/>
        <v>-999</v>
      </c>
      <c r="AH9" s="33">
        <f t="shared" si="12"/>
        <v>0.2366346896857302</v>
      </c>
      <c r="AI9" s="34">
        <f t="shared" si="13"/>
        <v>0.5100540609338929</v>
      </c>
      <c r="AJ9" s="4">
        <v>4.854042143202755</v>
      </c>
      <c r="AK9" s="32">
        <f t="shared" si="14"/>
        <v>0.2366346896857302</v>
      </c>
      <c r="AL9" s="34">
        <f t="shared" si="15"/>
        <v>-999</v>
      </c>
      <c r="AQ9" s="103">
        <v>4</v>
      </c>
      <c r="AR9" s="103">
        <v>1.0899</v>
      </c>
      <c r="AS9" s="103">
        <v>10.2416</v>
      </c>
      <c r="AY9" s="103" t="s">
        <v>90</v>
      </c>
      <c r="AZ9" s="103" t="s">
        <v>427</v>
      </c>
      <c r="BA9" s="103" t="s">
        <v>364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94.95288875903879</v>
      </c>
      <c r="F10" s="38">
        <f>IF(LEFT(VLOOKUP($B10,'Indicator chart'!$D$1:$J$36,6,FALSE),1)=" "," ",VLOOKUP($B10,'Indicator chart'!$D$1:$J$36,6,FALSE))</f>
        <v>50.5087699456908</v>
      </c>
      <c r="G10" s="38">
        <f>IF(LEFT(VLOOKUP($B10,'Indicator chart'!$D$1:$J$36,7,FALSE),1)=" "," ",VLOOKUP($B10,'Indicator chart'!$D$1:$J$36,7,FALSE))</f>
        <v>162.3833936984324</v>
      </c>
      <c r="H10" s="50">
        <f t="shared" si="0"/>
        <v>1</v>
      </c>
      <c r="I10" s="38">
        <v>44.173431396484375</v>
      </c>
      <c r="J10" s="38">
        <v>164.05856323242188</v>
      </c>
      <c r="K10" s="38">
        <v>231.80343627929688</v>
      </c>
      <c r="L10" s="38">
        <v>296.47198486328125</v>
      </c>
      <c r="M10" s="38">
        <v>687.7579345703125</v>
      </c>
      <c r="N10" s="80">
        <f>VLOOKUP('Hide - Control'!B$3,'All practice data'!A:CA,A10+29,FALSE)</f>
        <v>230.65285628346626</v>
      </c>
      <c r="O10" s="80">
        <f>VLOOKUP('Hide - Control'!C$3,'All practice data'!A:CA,A10+29,FALSE)</f>
        <v>234.12259778895606</v>
      </c>
      <c r="P10" s="38">
        <f>VLOOKUP('Hide - Control'!$B$4,'All practice data'!B:BC,A10+2,FALSE)</f>
        <v>1549</v>
      </c>
      <c r="Q10" s="38">
        <f>VLOOKUP('Hide - Control'!$B$4,'All practice data'!B:BC,3,FALSE)</f>
        <v>671572</v>
      </c>
      <c r="R10" s="38">
        <f>100000*(P10*(1-1/(9*P10)-1.96/(3*SQRT(P10)))^3)/Q10</f>
        <v>219.30794190243057</v>
      </c>
      <c r="S10" s="38">
        <f>100000*((P10+1)*(1-1/(9*(P10+1))+1.96/(3*SQRT(P10+1)))^3)/Q10</f>
        <v>242.43244654151962</v>
      </c>
      <c r="T10" s="53">
        <f t="shared" si="16"/>
        <v>687.7579345703125</v>
      </c>
      <c r="U10" s="51">
        <f t="shared" si="1"/>
        <v>44.173431396484375</v>
      </c>
      <c r="V10" s="7"/>
      <c r="W10" s="27">
        <f t="shared" si="2"/>
        <v>-224.15106201171875</v>
      </c>
      <c r="X10" s="27">
        <f t="shared" si="3"/>
        <v>687.7579345703125</v>
      </c>
      <c r="Y10" s="27">
        <f t="shared" si="4"/>
        <v>-224.15106201171875</v>
      </c>
      <c r="Z10" s="27">
        <f t="shared" si="5"/>
        <v>687.7579345703125</v>
      </c>
      <c r="AA10" s="32">
        <f t="shared" si="6"/>
        <v>0.294244814355295</v>
      </c>
      <c r="AB10" s="33">
        <f t="shared" si="7"/>
        <v>0.4257109280632248</v>
      </c>
      <c r="AC10" s="33">
        <v>0.5</v>
      </c>
      <c r="AD10" s="33">
        <f t="shared" si="8"/>
        <v>0.5709155725257362</v>
      </c>
      <c r="AE10" s="33">
        <f t="shared" si="9"/>
        <v>1</v>
      </c>
      <c r="AF10" s="33">
        <f t="shared" si="10"/>
        <v>-999</v>
      </c>
      <c r="AG10" s="33">
        <f t="shared" si="11"/>
        <v>-999</v>
      </c>
      <c r="AH10" s="33">
        <f t="shared" si="12"/>
        <v>0.3499296003952214</v>
      </c>
      <c r="AI10" s="34">
        <f t="shared" si="13"/>
        <v>0.5025431940230349</v>
      </c>
      <c r="AJ10" s="4">
        <v>5.930037568584676</v>
      </c>
      <c r="AK10" s="32">
        <f t="shared" si="14"/>
        <v>0.3499296003952214</v>
      </c>
      <c r="AL10" s="34">
        <f t="shared" si="15"/>
        <v>-999</v>
      </c>
      <c r="AY10" s="103" t="s">
        <v>96</v>
      </c>
      <c r="AZ10" s="103" t="s">
        <v>97</v>
      </c>
      <c r="BA10" s="103" t="s">
        <v>544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131</v>
      </c>
      <c r="E11" s="38">
        <f>IF(LEFT(VLOOKUP($B11,'Indicator chart'!$D$1:$J$36,5,FALSE),1)=" "," ",VLOOKUP($B11,'Indicator chart'!$D$1:$J$36,5,FALSE))</f>
        <v>0.01</v>
      </c>
      <c r="F11" s="38">
        <f>IF(LEFT(VLOOKUP($B11,'Indicator chart'!$D$1:$J$36,6,FALSE),1)=" "," ",VLOOKUP($B11,'Indicator chart'!$D$1:$J$36,6,FALSE))</f>
        <v>0.008069657454786043</v>
      </c>
      <c r="G11" s="38">
        <f>IF(LEFT(VLOOKUP($B11,'Indicator chart'!$D$1:$J$36,7,FALSE),1)=" "," ",VLOOKUP($B11,'Indicator chart'!$D$1:$J$36,7,FALSE))</f>
        <v>0.011342147936230671</v>
      </c>
      <c r="H11" s="50">
        <f t="shared" si="0"/>
        <v>1</v>
      </c>
      <c r="I11" s="38">
        <v>0.004000000189989805</v>
      </c>
      <c r="J11" s="38">
        <v>0.014000000432133675</v>
      </c>
      <c r="K11" s="38">
        <v>0.01600000075995922</v>
      </c>
      <c r="L11" s="38">
        <v>0.020999999716877937</v>
      </c>
      <c r="M11" s="38">
        <v>0.027000000700354576</v>
      </c>
      <c r="N11" s="80">
        <f>VLOOKUP('Hide - Control'!B$3,'All practice data'!A:CA,A11+29,FALSE)</f>
        <v>0.01692446975156796</v>
      </c>
      <c r="O11" s="80">
        <f>VLOOKUP('Hide - Control'!C$3,'All practice data'!A:CA,A11+29,FALSE)</f>
        <v>0.015940726342527432</v>
      </c>
      <c r="P11" s="38">
        <f>VLOOKUP('Hide - Control'!$B$4,'All practice data'!B:BC,A11+2,FALSE)</f>
        <v>11366</v>
      </c>
      <c r="Q11" s="38">
        <f>VLOOKUP('Hide - Control'!$B$4,'All practice data'!B:BC,3,FALSE)</f>
        <v>671572</v>
      </c>
      <c r="R11" s="80">
        <f aca="true" t="shared" si="17" ref="R11:R16">+((2*P11+1.96^2-1.96*SQRT(1.96^2+4*P11*(1-P11/Q11)))/(2*(Q11+1.96^2)))</f>
        <v>0.01661871761255402</v>
      </c>
      <c r="S11" s="80">
        <f aca="true" t="shared" si="18" ref="S11:S16">+((2*P11+1.96^2+1.96*SQRT(1.96^2+4*P11*(1-P11/Q11)))/(2*(Q11+1.96^2)))</f>
        <v>0.01723574854250131</v>
      </c>
      <c r="T11" s="53">
        <f t="shared" si="16"/>
        <v>0.027000000700354576</v>
      </c>
      <c r="U11" s="51">
        <f t="shared" si="1"/>
        <v>0.004000000189989805</v>
      </c>
      <c r="V11" s="7"/>
      <c r="W11" s="27">
        <f t="shared" si="2"/>
        <v>0.004000000189989805</v>
      </c>
      <c r="X11" s="27">
        <f t="shared" si="3"/>
        <v>0.028000001329928637</v>
      </c>
      <c r="Y11" s="27">
        <f t="shared" si="4"/>
        <v>0.004000000189989805</v>
      </c>
      <c r="Z11" s="27">
        <f t="shared" si="5"/>
        <v>0.028000001329928637</v>
      </c>
      <c r="AA11" s="32">
        <f t="shared" si="6"/>
        <v>0</v>
      </c>
      <c r="AB11" s="33">
        <f t="shared" si="7"/>
        <v>0.4166666569653903</v>
      </c>
      <c r="AC11" s="33">
        <v>0.5</v>
      </c>
      <c r="AD11" s="33">
        <f t="shared" si="8"/>
        <v>0.7083332799763133</v>
      </c>
      <c r="AE11" s="33">
        <f t="shared" si="9"/>
        <v>0.9583333090801425</v>
      </c>
      <c r="AF11" s="33">
        <f t="shared" si="10"/>
        <v>-999</v>
      </c>
      <c r="AG11" s="33">
        <f t="shared" si="11"/>
        <v>-999</v>
      </c>
      <c r="AH11" s="33">
        <f t="shared" si="12"/>
        <v>0.24999998020939623</v>
      </c>
      <c r="AI11" s="34">
        <f t="shared" si="13"/>
        <v>0.49753023272431646</v>
      </c>
      <c r="AJ11" s="4">
        <v>7.0060329939666</v>
      </c>
      <c r="AK11" s="32">
        <f t="shared" si="14"/>
        <v>0.24999998020939623</v>
      </c>
      <c r="AL11" s="34">
        <f t="shared" si="15"/>
        <v>-999</v>
      </c>
      <c r="AY11" s="103" t="s">
        <v>214</v>
      </c>
      <c r="AZ11" s="103" t="s">
        <v>215</v>
      </c>
      <c r="BA11" s="103" t="s">
        <v>544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562</v>
      </c>
      <c r="E12" s="38">
        <f>IF(LEFT(VLOOKUP($B12,'Indicator chart'!$D$1:$J$36,5,FALSE),1)=" "," ",VLOOKUP($B12,'Indicator chart'!$D$1:$J$36,5,FALSE))</f>
        <v>0.673054</v>
      </c>
      <c r="F12" s="38">
        <f>IF(LEFT(VLOOKUP($B12,'Indicator chart'!$D$1:$J$36,6,FALSE),1)=" "," ",VLOOKUP($B12,'Indicator chart'!$D$1:$J$36,6,FALSE))</f>
        <v>0.6405061996551915</v>
      </c>
      <c r="G12" s="38">
        <f>IF(LEFT(VLOOKUP($B12,'Indicator chart'!$D$1:$J$36,7,FALSE),1)=" "," ",VLOOKUP($B12,'Indicator chart'!$D$1:$J$36,7,FALSE))</f>
        <v>0.7040165326461154</v>
      </c>
      <c r="H12" s="50">
        <f t="shared" si="0"/>
        <v>1</v>
      </c>
      <c r="I12" s="38">
        <v>0.5567010045051575</v>
      </c>
      <c r="J12" s="38">
        <v>0.6830520033836365</v>
      </c>
      <c r="K12" s="38">
        <v>0.7277489900588989</v>
      </c>
      <c r="L12" s="38">
        <v>0.7716760039329529</v>
      </c>
      <c r="M12" s="38">
        <v>0.8455529808998108</v>
      </c>
      <c r="N12" s="80">
        <f>VLOOKUP('Hide - Control'!B$3,'All practice data'!A:CA,A12+29,FALSE)</f>
        <v>0.7389670239186156</v>
      </c>
      <c r="O12" s="80">
        <f>VLOOKUP('Hide - Control'!C$3,'All practice data'!A:CA,A12+29,FALSE)</f>
        <v>0.7248631360507991</v>
      </c>
      <c r="P12" s="38">
        <f>VLOOKUP('Hide - Control'!$B$4,'All practice data'!B:BC,A12+2,FALSE)</f>
        <v>55642</v>
      </c>
      <c r="Q12" s="38">
        <f>VLOOKUP('Hide - Control'!$B$4,'All practice data'!B:BJ,57,FALSE)</f>
        <v>75297</v>
      </c>
      <c r="R12" s="38">
        <f t="shared" si="17"/>
        <v>0.7358177955273882</v>
      </c>
      <c r="S12" s="38">
        <f t="shared" si="18"/>
        <v>0.7420918696947333</v>
      </c>
      <c r="T12" s="53">
        <f t="shared" si="16"/>
        <v>0.8455529808998108</v>
      </c>
      <c r="U12" s="51">
        <f t="shared" si="1"/>
        <v>0.5567010045051575</v>
      </c>
      <c r="V12" s="7"/>
      <c r="W12" s="27">
        <f t="shared" si="2"/>
        <v>0.5567010045051575</v>
      </c>
      <c r="X12" s="27">
        <f t="shared" si="3"/>
        <v>0.8987969756126404</v>
      </c>
      <c r="Y12" s="27">
        <f t="shared" si="4"/>
        <v>0.5567010045051575</v>
      </c>
      <c r="Z12" s="27">
        <f t="shared" si="5"/>
        <v>0.8987969756126404</v>
      </c>
      <c r="AA12" s="32">
        <f t="shared" si="6"/>
        <v>0</v>
      </c>
      <c r="AB12" s="33">
        <f t="shared" si="7"/>
        <v>0.3693437209138627</v>
      </c>
      <c r="AC12" s="33">
        <v>0.5</v>
      </c>
      <c r="AD12" s="33">
        <f t="shared" si="8"/>
        <v>0.6284055282260327</v>
      </c>
      <c r="AE12" s="33">
        <f t="shared" si="9"/>
        <v>0.8443594803514921</v>
      </c>
      <c r="AF12" s="33">
        <f t="shared" si="10"/>
        <v>-999</v>
      </c>
      <c r="AG12" s="33">
        <f t="shared" si="11"/>
        <v>-999</v>
      </c>
      <c r="AH12" s="33">
        <f t="shared" si="12"/>
        <v>0.340117994135294</v>
      </c>
      <c r="AI12" s="34">
        <f t="shared" si="13"/>
        <v>0.49156419761753606</v>
      </c>
      <c r="AJ12" s="4">
        <v>8.082028419348523</v>
      </c>
      <c r="AK12" s="32">
        <f t="shared" si="14"/>
        <v>0.340117994135294</v>
      </c>
      <c r="AL12" s="34">
        <f t="shared" si="15"/>
        <v>-999</v>
      </c>
      <c r="AY12" s="103" t="s">
        <v>261</v>
      </c>
      <c r="AZ12" s="103" t="s">
        <v>480</v>
      </c>
      <c r="BA12" s="103" t="s">
        <v>364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0.4</v>
      </c>
      <c r="F13" s="38">
        <f>IF(LEFT(VLOOKUP($B13,'Indicator chart'!$D$1:$J$36,6,FALSE),1)=" "," ",VLOOKUP($B13,'Indicator chart'!$D$1:$J$36,6,FALSE))</f>
        <v>0.19824228082594664</v>
      </c>
      <c r="G13" s="38">
        <f>IF(LEFT(VLOOKUP($B13,'Indicator chart'!$D$1:$J$36,7,FALSE),1)=" "," ",VLOOKUP($B13,'Indicator chart'!$D$1:$J$36,7,FALSE))</f>
        <v>0.6425355724349229</v>
      </c>
      <c r="H13" s="50">
        <f t="shared" si="0"/>
        <v>1</v>
      </c>
      <c r="I13" s="38">
        <v>0</v>
      </c>
      <c r="J13" s="38">
        <v>0.4761900007724762</v>
      </c>
      <c r="K13" s="38">
        <v>0.6511340141296387</v>
      </c>
      <c r="L13" s="38">
        <v>0.7668020129203796</v>
      </c>
      <c r="M13" s="38">
        <v>0.8524690270423889</v>
      </c>
      <c r="N13" s="80">
        <f>VLOOKUP('Hide - Control'!B$3,'All practice data'!A:CA,A13+29,FALSE)</f>
        <v>0.7763530146599552</v>
      </c>
      <c r="O13" s="80">
        <f>VLOOKUP('Hide - Control'!C$3,'All practice data'!A:CA,A13+29,FALSE)</f>
        <v>0.7467412166569077</v>
      </c>
      <c r="P13" s="38">
        <f>VLOOKUP('Hide - Control'!$B$4,'All practice data'!B:BC,A13+2,FALSE)</f>
        <v>21130</v>
      </c>
      <c r="Q13" s="38">
        <f>VLOOKUP('Hide - Control'!$B$4,'All practice data'!B:BJ,58,FALSE)</f>
        <v>27217</v>
      </c>
      <c r="R13" s="38">
        <f t="shared" si="17"/>
        <v>0.7713637319449164</v>
      </c>
      <c r="S13" s="38">
        <f t="shared" si="18"/>
        <v>0.7812642955441382</v>
      </c>
      <c r="T13" s="53">
        <f t="shared" si="16"/>
        <v>0.8524690270423889</v>
      </c>
      <c r="U13" s="51">
        <f t="shared" si="1"/>
        <v>0</v>
      </c>
      <c r="V13" s="7"/>
      <c r="W13" s="27">
        <f t="shared" si="2"/>
        <v>0</v>
      </c>
      <c r="X13" s="27">
        <f t="shared" si="3"/>
        <v>1.3022680282592773</v>
      </c>
      <c r="Y13" s="27">
        <f t="shared" si="4"/>
        <v>0</v>
      </c>
      <c r="Z13" s="27">
        <f t="shared" si="5"/>
        <v>1.3022680282592773</v>
      </c>
      <c r="AA13" s="32">
        <f t="shared" si="6"/>
        <v>0</v>
      </c>
      <c r="AB13" s="33">
        <f t="shared" si="7"/>
        <v>0.36566205300224747</v>
      </c>
      <c r="AC13" s="33">
        <v>0.5</v>
      </c>
      <c r="AD13" s="33">
        <f t="shared" si="8"/>
        <v>0.5888204242757558</v>
      </c>
      <c r="AE13" s="33">
        <f t="shared" si="9"/>
        <v>0.6546033600946741</v>
      </c>
      <c r="AF13" s="33">
        <f t="shared" si="10"/>
        <v>-999</v>
      </c>
      <c r="AG13" s="33">
        <f t="shared" si="11"/>
        <v>-999</v>
      </c>
      <c r="AH13" s="33">
        <f t="shared" si="12"/>
        <v>0.3071564311800499</v>
      </c>
      <c r="AI13" s="34">
        <f t="shared" si="13"/>
        <v>0.5734159178084606</v>
      </c>
      <c r="AJ13" s="4">
        <v>9.158023844730446</v>
      </c>
      <c r="AK13" s="32">
        <f t="shared" si="14"/>
        <v>0.3071564311800499</v>
      </c>
      <c r="AL13" s="34">
        <f t="shared" si="15"/>
        <v>-999</v>
      </c>
      <c r="AY13" s="103" t="s">
        <v>260</v>
      </c>
      <c r="AZ13" s="103" t="s">
        <v>479</v>
      </c>
      <c r="BA13" s="103" t="s">
        <v>364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1851</v>
      </c>
      <c r="E14" s="38">
        <f>IF(LEFT(VLOOKUP($B14,'Indicator chart'!$D$1:$J$36,5,FALSE),1)=" "," ",VLOOKUP($B14,'Indicator chart'!$D$1:$J$36,5,FALSE))</f>
        <v>0.609282</v>
      </c>
      <c r="F14" s="38">
        <f>IF(LEFT(VLOOKUP($B14,'Indicator chart'!$D$1:$J$36,6,FALSE),1)=" "," ",VLOOKUP($B14,'Indicator chart'!$D$1:$J$36,6,FALSE))</f>
        <v>0.5918046777888722</v>
      </c>
      <c r="G14" s="38">
        <f>IF(LEFT(VLOOKUP($B14,'Indicator chart'!$D$1:$J$36,7,FALSE),1)=" "," ",VLOOKUP($B14,'Indicator chart'!$D$1:$J$36,7,FALSE))</f>
        <v>0.6264841377760144</v>
      </c>
      <c r="H14" s="50">
        <f t="shared" si="0"/>
        <v>1</v>
      </c>
      <c r="I14" s="38">
        <v>0.5596330165863037</v>
      </c>
      <c r="J14" s="38">
        <v>0.7200000286102295</v>
      </c>
      <c r="K14" s="38">
        <v>0.7855299711227417</v>
      </c>
      <c r="L14" s="38">
        <v>0.8112310171127319</v>
      </c>
      <c r="M14" s="38">
        <v>0.8563920259475708</v>
      </c>
      <c r="N14" s="80">
        <f>VLOOKUP('Hide - Control'!B$3,'All practice data'!A:CA,A14+29,FALSE)</f>
        <v>0.7613228672557848</v>
      </c>
      <c r="O14" s="80">
        <f>VLOOKUP('Hide - Control'!C$3,'All practice data'!A:CA,A14+29,FALSE)</f>
        <v>0.7559681673907895</v>
      </c>
      <c r="P14" s="38">
        <f>VLOOKUP('Hide - Control'!$B$4,'All practice data'!B:BC,A14+2,FALSE)</f>
        <v>126474</v>
      </c>
      <c r="Q14" s="38">
        <f>VLOOKUP('Hide - Control'!$B$4,'All practice data'!B:BJ,59,FALSE)</f>
        <v>166124</v>
      </c>
      <c r="R14" s="38">
        <f t="shared" si="17"/>
        <v>0.7592669530531795</v>
      </c>
      <c r="S14" s="38">
        <f t="shared" si="18"/>
        <v>0.7633666956103207</v>
      </c>
      <c r="T14" s="53">
        <f t="shared" si="16"/>
        <v>0.8563920259475708</v>
      </c>
      <c r="U14" s="51">
        <f t="shared" si="1"/>
        <v>0.5596330165863037</v>
      </c>
      <c r="V14" s="7"/>
      <c r="W14" s="27">
        <f t="shared" si="2"/>
        <v>0.5596330165863037</v>
      </c>
      <c r="X14" s="27">
        <f t="shared" si="3"/>
        <v>1.0114269256591797</v>
      </c>
      <c r="Y14" s="27">
        <f t="shared" si="4"/>
        <v>0.5596330165863037</v>
      </c>
      <c r="Z14" s="27">
        <f t="shared" si="5"/>
        <v>1.0114269256591797</v>
      </c>
      <c r="AA14" s="32">
        <f t="shared" si="6"/>
        <v>0</v>
      </c>
      <c r="AB14" s="33">
        <f t="shared" si="7"/>
        <v>0.3549561178303933</v>
      </c>
      <c r="AC14" s="33">
        <v>0.5</v>
      </c>
      <c r="AD14" s="33">
        <f t="shared" si="8"/>
        <v>0.5568866588811062</v>
      </c>
      <c r="AE14" s="33">
        <f t="shared" si="9"/>
        <v>0.6568459720279204</v>
      </c>
      <c r="AF14" s="33">
        <f t="shared" si="10"/>
        <v>-999</v>
      </c>
      <c r="AG14" s="33">
        <f t="shared" si="11"/>
        <v>-999</v>
      </c>
      <c r="AH14" s="33">
        <f t="shared" si="12"/>
        <v>0.10989298973857507</v>
      </c>
      <c r="AI14" s="34">
        <f t="shared" si="13"/>
        <v>0.43456794538771937</v>
      </c>
      <c r="AJ14" s="4">
        <v>10.234019270112368</v>
      </c>
      <c r="AK14" s="32">
        <f t="shared" si="14"/>
        <v>0.10989298973857507</v>
      </c>
      <c r="AL14" s="34">
        <f t="shared" si="15"/>
        <v>-999</v>
      </c>
      <c r="AY14" s="103" t="s">
        <v>53</v>
      </c>
      <c r="AZ14" s="103" t="s">
        <v>487</v>
      </c>
      <c r="BA14" s="103" t="s">
        <v>544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213</v>
      </c>
      <c r="E15" s="38">
        <f>IF(LEFT(VLOOKUP($B15,'Indicator chart'!$D$1:$J$36,5,FALSE),1)=" "," ",VLOOKUP($B15,'Indicator chart'!$D$1:$J$36,5,FALSE))</f>
        <v>0.299578</v>
      </c>
      <c r="F15" s="38">
        <f>IF(LEFT(VLOOKUP($B15,'Indicator chart'!$D$1:$J$36,6,FALSE),1)=" "," ",VLOOKUP($B15,'Indicator chart'!$D$1:$J$36,6,FALSE))</f>
        <v>0.2670574560197354</v>
      </c>
      <c r="G15" s="38">
        <f>IF(LEFT(VLOOKUP($B15,'Indicator chart'!$D$1:$J$36,7,FALSE),1)=" "," ",VLOOKUP($B15,'Indicator chart'!$D$1:$J$36,7,FALSE))</f>
        <v>0.3342528202708442</v>
      </c>
      <c r="H15" s="50">
        <f t="shared" si="0"/>
        <v>1</v>
      </c>
      <c r="I15" s="38">
        <v>0.14222200214862823</v>
      </c>
      <c r="J15" s="38">
        <v>0.2933880090713501</v>
      </c>
      <c r="K15" s="38">
        <v>0.3397440016269684</v>
      </c>
      <c r="L15" s="38">
        <v>0.3790319859981537</v>
      </c>
      <c r="M15" s="38">
        <v>0.4280189871788025</v>
      </c>
      <c r="N15" s="80">
        <f>VLOOKUP('Hide - Control'!B$3,'All practice data'!A:CA,A15+29,FALSE)</f>
        <v>0.34236772994186904</v>
      </c>
      <c r="O15" s="80">
        <f>VLOOKUP('Hide - Control'!C$3,'All practice data'!A:CA,A15+29,FALSE)</f>
        <v>0.5147293797466616</v>
      </c>
      <c r="P15" s="38">
        <f>VLOOKUP('Hide - Control'!$B$4,'All practice data'!B:BC,A15+2,FALSE)</f>
        <v>23205</v>
      </c>
      <c r="Q15" s="38">
        <f>VLOOKUP('Hide - Control'!$B$4,'All practice data'!B:BJ,60,FALSE)</f>
        <v>67778</v>
      </c>
      <c r="R15" s="38">
        <f t="shared" si="17"/>
        <v>0.33880443962778534</v>
      </c>
      <c r="S15" s="38">
        <f t="shared" si="18"/>
        <v>0.34594888817203057</v>
      </c>
      <c r="T15" s="53">
        <f t="shared" si="16"/>
        <v>0.4280189871788025</v>
      </c>
      <c r="U15" s="51">
        <f t="shared" si="1"/>
        <v>0.14222200214862823</v>
      </c>
      <c r="V15" s="7"/>
      <c r="W15" s="27">
        <f t="shared" si="2"/>
        <v>0.14222200214862823</v>
      </c>
      <c r="X15" s="27">
        <f t="shared" si="3"/>
        <v>0.5372660011053085</v>
      </c>
      <c r="Y15" s="27">
        <f t="shared" si="4"/>
        <v>0.14222200214862823</v>
      </c>
      <c r="Z15" s="27">
        <f t="shared" si="5"/>
        <v>0.5372660011053085</v>
      </c>
      <c r="AA15" s="32">
        <f t="shared" si="6"/>
        <v>0</v>
      </c>
      <c r="AB15" s="33">
        <f t="shared" si="7"/>
        <v>0.3826561277274292</v>
      </c>
      <c r="AC15" s="33">
        <v>0.5</v>
      </c>
      <c r="AD15" s="33">
        <f t="shared" si="8"/>
        <v>0.5994521736184975</v>
      </c>
      <c r="AE15" s="33">
        <f t="shared" si="9"/>
        <v>0.7234560853600365</v>
      </c>
      <c r="AF15" s="33">
        <f t="shared" si="10"/>
        <v>-999</v>
      </c>
      <c r="AG15" s="33">
        <f t="shared" si="11"/>
        <v>-999</v>
      </c>
      <c r="AH15" s="33">
        <f t="shared" si="12"/>
        <v>0.3983252454586131</v>
      </c>
      <c r="AI15" s="34">
        <f t="shared" si="13"/>
        <v>0.9429516169890779</v>
      </c>
      <c r="AJ15" s="4">
        <v>11.310014695494289</v>
      </c>
      <c r="AK15" s="32">
        <f t="shared" si="14"/>
        <v>0.3983252454586131</v>
      </c>
      <c r="AL15" s="34">
        <f t="shared" si="15"/>
        <v>-999</v>
      </c>
      <c r="AY15" s="103" t="s">
        <v>229</v>
      </c>
      <c r="AZ15" s="103" t="s">
        <v>230</v>
      </c>
      <c r="BA15" s="103" t="s">
        <v>364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236</v>
      </c>
      <c r="E16" s="38">
        <f>IF(LEFT(VLOOKUP($B16,'Indicator chart'!$D$1:$J$36,5,FALSE),1)=" "," ",VLOOKUP($B16,'Indicator chart'!$D$1:$J$36,5,FALSE))</f>
        <v>0.553991</v>
      </c>
      <c r="F16" s="38">
        <f>IF(LEFT(VLOOKUP($B16,'Indicator chart'!$D$1:$J$36,6,FALSE),1)=" "," ",VLOOKUP($B16,'Indicator chart'!$D$1:$J$36,6,FALSE))</f>
        <v>0.5065134841758763</v>
      </c>
      <c r="G16" s="38">
        <f>IF(LEFT(VLOOKUP($B16,'Indicator chart'!$D$1:$J$36,7,FALSE),1)=" "," ",VLOOKUP($B16,'Indicator chart'!$D$1:$J$36,7,FALSE))</f>
        <v>0.6005026817792104</v>
      </c>
      <c r="H16" s="50">
        <f t="shared" si="0"/>
        <v>2</v>
      </c>
      <c r="I16" s="38">
        <v>0.33333298563957214</v>
      </c>
      <c r="J16" s="38">
        <v>0.5195069909095764</v>
      </c>
      <c r="K16" s="38">
        <v>0.560483992099762</v>
      </c>
      <c r="L16" s="38">
        <v>0.5879189968109131</v>
      </c>
      <c r="M16" s="38">
        <v>0.6855040192604065</v>
      </c>
      <c r="N16" s="80">
        <f>VLOOKUP('Hide - Control'!B$3,'All practice data'!A:CA,A16+29,FALSE)</f>
        <v>0.5628438964744243</v>
      </c>
      <c r="O16" s="80">
        <f>VLOOKUP('Hide - Control'!C$3,'All practice data'!A:CA,A16+29,FALSE)</f>
        <v>0.5752927626212945</v>
      </c>
      <c r="P16" s="38">
        <f>VLOOKUP('Hide - Control'!$B$4,'All practice data'!B:BC,A16+2,FALSE)</f>
        <v>22095</v>
      </c>
      <c r="Q16" s="38">
        <f>VLOOKUP('Hide - Control'!$B$4,'All practice data'!B:BJ,61,FALSE)</f>
        <v>39256</v>
      </c>
      <c r="R16" s="38">
        <f t="shared" si="17"/>
        <v>0.5579309919246167</v>
      </c>
      <c r="S16" s="38">
        <f t="shared" si="18"/>
        <v>0.5677445023952584</v>
      </c>
      <c r="T16" s="53">
        <f aca="true" t="shared" si="19" ref="T16:T31">IF($C16=1,M16,I16)</f>
        <v>0.6855040192604065</v>
      </c>
      <c r="U16" s="51">
        <f aca="true" t="shared" si="20" ref="U16:U31">IF($C16=1,I16,M16)</f>
        <v>0.33333298563957214</v>
      </c>
      <c r="V16" s="7"/>
      <c r="W16" s="27">
        <f t="shared" si="2"/>
        <v>0.33333298563957214</v>
      </c>
      <c r="X16" s="27">
        <f t="shared" si="3"/>
        <v>0.7876349985599518</v>
      </c>
      <c r="Y16" s="27">
        <f t="shared" si="4"/>
        <v>0.33333298563957214</v>
      </c>
      <c r="Z16" s="27">
        <f t="shared" si="5"/>
        <v>0.7876349985599518</v>
      </c>
      <c r="AA16" s="32">
        <f t="shared" si="6"/>
        <v>0</v>
      </c>
      <c r="AB16" s="33">
        <f t="shared" si="7"/>
        <v>0.4098022900519987</v>
      </c>
      <c r="AC16" s="33">
        <v>0.5</v>
      </c>
      <c r="AD16" s="33">
        <f t="shared" si="8"/>
        <v>0.5603893531855413</v>
      </c>
      <c r="AE16" s="33">
        <f t="shared" si="9"/>
        <v>0.775191444468804</v>
      </c>
      <c r="AF16" s="33">
        <f t="shared" si="10"/>
        <v>-999</v>
      </c>
      <c r="AG16" s="33">
        <f t="shared" si="11"/>
        <v>0.48570776286456846</v>
      </c>
      <c r="AH16" s="33">
        <f t="shared" si="12"/>
        <v>-999</v>
      </c>
      <c r="AI16" s="34">
        <f t="shared" si="13"/>
        <v>0.5325967530417434</v>
      </c>
      <c r="AJ16" s="4">
        <v>12.386010120876215</v>
      </c>
      <c r="AK16" s="32">
        <f t="shared" si="14"/>
        <v>-999</v>
      </c>
      <c r="AL16" s="34">
        <f t="shared" si="15"/>
        <v>-999</v>
      </c>
      <c r="AY16" s="103" t="s">
        <v>363</v>
      </c>
      <c r="AZ16" s="103" t="s">
        <v>383</v>
      </c>
      <c r="BA16" s="103" t="s">
        <v>544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148</v>
      </c>
      <c r="E17" s="38">
        <f>IF(LEFT(VLOOKUP($B17,'Indicator chart'!$D$1:$J$36,5,FALSE),1)=" "," ",VLOOKUP($B17,'Indicator chart'!$D$1:$J$36,5,FALSE))</f>
        <v>1081.002118179826</v>
      </c>
      <c r="F17" s="38">
        <f>IF(LEFT(VLOOKUP($B17,'Indicator chart'!$D$1:$J$36,6,FALSE),1)=" "," ",VLOOKUP($B17,'Indicator chart'!$D$1:$J$36,6,FALSE))</f>
        <v>913.8479702098008</v>
      </c>
      <c r="G17" s="38">
        <f>IF(LEFT(VLOOKUP($B17,'Indicator chart'!$D$1:$J$36,7,FALSE),1)=" "," ",VLOOKUP($B17,'Indicator chart'!$D$1:$J$36,7,FALSE))</f>
        <v>1269.874515152283</v>
      </c>
      <c r="H17" s="50">
        <f t="shared" si="0"/>
        <v>1</v>
      </c>
      <c r="I17" s="38">
        <v>417.9031066894531</v>
      </c>
      <c r="J17" s="38">
        <v>1293.5323486328125</v>
      </c>
      <c r="K17" s="38">
        <v>1709.6551513671875</v>
      </c>
      <c r="L17" s="38">
        <v>2052.88037109375</v>
      </c>
      <c r="M17" s="38">
        <v>3287.380615234375</v>
      </c>
      <c r="N17" s="80">
        <f>VLOOKUP('Hide - Control'!B$3,'All practice data'!A:CA,A17+29,FALSE)</f>
        <v>1763.3254513291204</v>
      </c>
      <c r="O17" s="80">
        <f>VLOOKUP('Hide - Control'!C$3,'All practice data'!A:CA,A17+29,FALSE)</f>
        <v>1812.1669120472948</v>
      </c>
      <c r="P17" s="38">
        <f>VLOOKUP('Hide - Control'!$B$4,'All practice data'!B:BC,A17+2,FALSE)</f>
        <v>11842</v>
      </c>
      <c r="Q17" s="38">
        <f>VLOOKUP('Hide - Control'!$B$4,'All practice data'!B:BC,3,FALSE)</f>
        <v>671572</v>
      </c>
      <c r="R17" s="38">
        <f>100000*(P17*(1-1/(9*P17)-1.96/(3*SQRT(P17)))^3)/Q17</f>
        <v>1731.7070338475783</v>
      </c>
      <c r="S17" s="38">
        <f>100000*((P17+1)*(1-1/(9*(P17+1))+1.96/(3*SQRT(P17+1)))^3)/Q17</f>
        <v>1795.3761959051776</v>
      </c>
      <c r="T17" s="53">
        <f t="shared" si="19"/>
        <v>3287.380615234375</v>
      </c>
      <c r="U17" s="51">
        <f t="shared" si="20"/>
        <v>417.9031066894531</v>
      </c>
      <c r="V17" s="7"/>
      <c r="W17" s="27">
        <f t="shared" si="2"/>
        <v>131.9296875</v>
      </c>
      <c r="X17" s="27">
        <f t="shared" si="3"/>
        <v>3287.380615234375</v>
      </c>
      <c r="Y17" s="27">
        <f t="shared" si="4"/>
        <v>131.9296875</v>
      </c>
      <c r="Z17" s="27">
        <f t="shared" si="5"/>
        <v>3287.380615234375</v>
      </c>
      <c r="AA17" s="32">
        <f t="shared" si="6"/>
        <v>0.09062838425910273</v>
      </c>
      <c r="AB17" s="33">
        <f t="shared" si="7"/>
        <v>0.3681257252087414</v>
      </c>
      <c r="AC17" s="33">
        <v>0.5</v>
      </c>
      <c r="AD17" s="33">
        <f t="shared" si="8"/>
        <v>0.60877216207352</v>
      </c>
      <c r="AE17" s="33">
        <f t="shared" si="9"/>
        <v>1</v>
      </c>
      <c r="AF17" s="33">
        <f t="shared" si="10"/>
        <v>-999</v>
      </c>
      <c r="AG17" s="33">
        <f t="shared" si="11"/>
        <v>-999</v>
      </c>
      <c r="AH17" s="33">
        <f t="shared" si="12"/>
        <v>0.30077236262433765</v>
      </c>
      <c r="AI17" s="34">
        <f t="shared" si="13"/>
        <v>0.5324871985107089</v>
      </c>
      <c r="AJ17" s="4">
        <v>13.462005546258133</v>
      </c>
      <c r="AK17" s="32">
        <f t="shared" si="14"/>
        <v>0.30077236262433765</v>
      </c>
      <c r="AL17" s="34">
        <f t="shared" si="15"/>
        <v>-999</v>
      </c>
      <c r="AY17" s="103" t="s">
        <v>103</v>
      </c>
      <c r="AZ17" s="103" t="s">
        <v>104</v>
      </c>
      <c r="BA17" s="103" t="s">
        <v>364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148</v>
      </c>
      <c r="E18" s="80">
        <f>IF(LEFT(VLOOKUP($B18,'Indicator chart'!$D$1:$J$36,5,FALSE),1)=" "," ",VLOOKUP($B18,'Indicator chart'!$D$1:$J$36,5,FALSE))</f>
        <v>0.9268218231</v>
      </c>
      <c r="F18" s="81">
        <f>IF(LEFT(VLOOKUP($B18,'Indicator chart'!$D$1:$J$36,6,FALSE),1)=" "," ",VLOOKUP($B18,'Indicator chart'!$D$1:$J$36,6,FALSE))</f>
        <v>0.7835202026</v>
      </c>
      <c r="G18" s="38">
        <f>IF(LEFT(VLOOKUP($B18,'Indicator chart'!$D$1:$J$36,7,FALSE),1)=" "," ",VLOOKUP($B18,'Indicator chart'!$D$1:$J$36,7,FALSE))</f>
        <v>1.088746567</v>
      </c>
      <c r="H18" s="50">
        <f>IF(LEFT(F18,1)=" ",4,IF(AND(ABS(N18-E18)&gt;SQRT((E18-G18)^2+(N18-R18)^2),E18&lt;N18),1,IF(AND(ABS(N18-E18)&gt;SQRT((E18-F18)^2+(N18-S18)^2),E18&gt;N18),3,2)))</f>
        <v>2</v>
      </c>
      <c r="I18" s="38">
        <v>0.2566588222980499</v>
      </c>
      <c r="J18" s="38"/>
      <c r="K18" s="38">
        <v>1</v>
      </c>
      <c r="L18" s="38"/>
      <c r="M18" s="38">
        <v>1.8242502212524414</v>
      </c>
      <c r="N18" s="80">
        <v>1</v>
      </c>
      <c r="O18" s="80">
        <f>VLOOKUP('Hide - Control'!C$3,'All practice data'!A:CA,A18+29,FALSE)</f>
        <v>1</v>
      </c>
      <c r="P18" s="38">
        <f>VLOOKUP('Hide - Control'!$B$4,'All practice data'!B:BC,A18+2,FALSE)</f>
        <v>11842</v>
      </c>
      <c r="Q18" s="38">
        <f>VLOOKUP('Hide - Control'!$B$4,'All practice data'!B:BC,14,FALSE)</f>
        <v>11842</v>
      </c>
      <c r="R18" s="81">
        <v>1</v>
      </c>
      <c r="S18" s="38">
        <v>1</v>
      </c>
      <c r="T18" s="53">
        <f t="shared" si="19"/>
        <v>1.8242502212524414</v>
      </c>
      <c r="U18" s="51">
        <f t="shared" si="20"/>
        <v>0.2566588222980499</v>
      </c>
      <c r="V18" s="7"/>
      <c r="W18" s="27">
        <f>IF((K18-I18)&gt;(M18-K18),I18,(K18-(M18-K18)))</f>
        <v>0.1757497787475586</v>
      </c>
      <c r="X18" s="27">
        <f t="shared" si="3"/>
        <v>1.8242502212524414</v>
      </c>
      <c r="Y18" s="27">
        <f t="shared" si="4"/>
        <v>0.1757497787475586</v>
      </c>
      <c r="Z18" s="27">
        <f t="shared" si="5"/>
        <v>1.8242502212524414</v>
      </c>
      <c r="AA18" s="32" t="s">
        <v>364</v>
      </c>
      <c r="AB18" s="33" t="s">
        <v>364</v>
      </c>
      <c r="AC18" s="33">
        <v>0.5</v>
      </c>
      <c r="AD18" s="33" t="s">
        <v>364</v>
      </c>
      <c r="AE18" s="33" t="s">
        <v>364</v>
      </c>
      <c r="AF18" s="33">
        <f t="shared" si="10"/>
        <v>-999</v>
      </c>
      <c r="AG18" s="33">
        <f t="shared" si="11"/>
        <v>0.4556092464319838</v>
      </c>
      <c r="AH18" s="33">
        <f t="shared" si="12"/>
        <v>-999</v>
      </c>
      <c r="AI18" s="34">
        <v>0.5</v>
      </c>
      <c r="AJ18" s="4">
        <v>14.538000971640056</v>
      </c>
      <c r="AK18" s="32">
        <f t="shared" si="14"/>
        <v>-999</v>
      </c>
      <c r="AL18" s="34">
        <f t="shared" si="15"/>
        <v>-999</v>
      </c>
      <c r="AY18" s="103" t="s">
        <v>105</v>
      </c>
      <c r="AZ18" s="103" t="s">
        <v>106</v>
      </c>
      <c r="BA18" s="103" t="s">
        <v>364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0.060810810810810814</v>
      </c>
      <c r="F19" s="38">
        <f>IF(LEFT(VLOOKUP($B19,'Indicator chart'!$D$1:$J$36,6,FALSE),1)=" "," ",VLOOKUP($B19,'Indicator chart'!$D$1:$J$36,6,FALSE))</f>
        <v>0.03231898960293867</v>
      </c>
      <c r="G19" s="38">
        <f>IF(LEFT(VLOOKUP($B19,'Indicator chart'!$D$1:$J$36,7,FALSE),1)=" "," ",VLOOKUP($B19,'Indicator chart'!$D$1:$J$36,7,FALSE))</f>
        <v>0.11152564849360404</v>
      </c>
      <c r="H19" s="50">
        <f t="shared" si="0"/>
        <v>1</v>
      </c>
      <c r="I19" s="38">
        <v>0.02070442959666252</v>
      </c>
      <c r="J19" s="38">
        <v>0.09615384787321091</v>
      </c>
      <c r="K19" s="38">
        <v>0.125</v>
      </c>
      <c r="L19" s="38">
        <v>0.1515151560306549</v>
      </c>
      <c r="M19" s="38">
        <v>0.23076923191547394</v>
      </c>
      <c r="N19" s="80">
        <f>VLOOKUP('Hide - Control'!B$3,'All practice data'!A:CA,A19+29,FALSE)</f>
        <v>0.1246411079209593</v>
      </c>
      <c r="O19" s="80">
        <f>VLOOKUP('Hide - Control'!C$3,'All practice data'!A:CA,A19+29,FALSE)</f>
        <v>0.10919341638628717</v>
      </c>
      <c r="P19" s="38">
        <f>VLOOKUP('Hide - Control'!$B$4,'All practice data'!B:BC,A19+2,FALSE)</f>
        <v>1476</v>
      </c>
      <c r="Q19" s="38">
        <f>VLOOKUP('Hide - Control'!$B$4,'All practice data'!B:BC,15,FALSE)</f>
        <v>11842</v>
      </c>
      <c r="R19" s="38">
        <f>+((2*P19+1.96^2-1.96*SQRT(1.96^2+4*P19*(1-P19/Q19)))/(2*(Q19+1.96^2)))</f>
        <v>0.11881323680048379</v>
      </c>
      <c r="S19" s="38">
        <f>+((2*P19+1.96^2+1.96*SQRT(1.96^2+4*P19*(1-P19/Q19)))/(2*(Q19+1.96^2)))</f>
        <v>0.13071243641128702</v>
      </c>
      <c r="T19" s="53">
        <f t="shared" si="19"/>
        <v>0.23076923191547394</v>
      </c>
      <c r="U19" s="51">
        <f t="shared" si="20"/>
        <v>0.02070442959666252</v>
      </c>
      <c r="V19" s="7"/>
      <c r="W19" s="27">
        <f t="shared" si="2"/>
        <v>0.019230768084526062</v>
      </c>
      <c r="X19" s="27">
        <f t="shared" si="3"/>
        <v>0.23076923191547394</v>
      </c>
      <c r="Y19" s="27">
        <f t="shared" si="4"/>
        <v>0.019230768084526062</v>
      </c>
      <c r="Z19" s="27">
        <f t="shared" si="5"/>
        <v>0.23076923191547394</v>
      </c>
      <c r="AA19" s="32">
        <f t="shared" si="6"/>
        <v>0.006966399800057847</v>
      </c>
      <c r="AB19" s="33">
        <f t="shared" si="7"/>
        <v>0.36363637324207077</v>
      </c>
      <c r="AC19" s="33">
        <v>0.5</v>
      </c>
      <c r="AD19" s="33">
        <f t="shared" si="8"/>
        <v>0.6253443726047129</v>
      </c>
      <c r="AE19" s="33">
        <f t="shared" si="9"/>
        <v>1</v>
      </c>
      <c r="AF19" s="33">
        <f t="shared" si="10"/>
        <v>-999</v>
      </c>
      <c r="AG19" s="33">
        <f t="shared" si="11"/>
        <v>-999</v>
      </c>
      <c r="AH19" s="33">
        <f t="shared" si="12"/>
        <v>0.19656019984863685</v>
      </c>
      <c r="AI19" s="34">
        <f t="shared" si="13"/>
        <v>0.42527796918131755</v>
      </c>
      <c r="AJ19" s="4">
        <v>15.61399639702198</v>
      </c>
      <c r="AK19" s="32">
        <f t="shared" si="14"/>
        <v>0.19656019984863685</v>
      </c>
      <c r="AL19" s="34">
        <f t="shared" si="15"/>
        <v>-999</v>
      </c>
      <c r="AY19" s="103" t="s">
        <v>270</v>
      </c>
      <c r="AZ19" s="103" t="s">
        <v>483</v>
      </c>
      <c r="BA19" s="103" t="s">
        <v>364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f>IF(LEFT(VLOOKUP($B20,'Indicator chart'!$D$1:$J$36,5,FALSE),1)=" "," ",VLOOKUP($B20,'Indicator chart'!$D$1:$J$36,5,FALSE))</f>
        <v>0.5294117647058824</v>
      </c>
      <c r="F20" s="38">
        <f>IF(LEFT(VLOOKUP($B20,'Indicator chart'!$D$1:$J$36,6,FALSE),1)=" "," ",VLOOKUP($B20,'Indicator chart'!$D$1:$J$36,6,FALSE))</f>
        <v>0.3096289731154949</v>
      </c>
      <c r="G20" s="38">
        <f>IF(LEFT(VLOOKUP($B20,'Indicator chart'!$D$1:$J$36,7,FALSE),1)=" "," ",VLOOKUP($B20,'Indicator chart'!$D$1:$J$36,7,FALSE))</f>
        <v>0.738351988039119</v>
      </c>
      <c r="H20" s="50">
        <f t="shared" si="0"/>
        <v>2</v>
      </c>
      <c r="I20" s="38">
        <v>0.09238772839307785</v>
      </c>
      <c r="J20" s="38">
        <v>0.529411792755127</v>
      </c>
      <c r="K20" s="38">
        <v>0.6111111044883728</v>
      </c>
      <c r="L20" s="38">
        <v>0.675000011920929</v>
      </c>
      <c r="M20" s="38">
        <v>0.8529411554336548</v>
      </c>
      <c r="N20" s="80">
        <f>VLOOKUP('Hide - Control'!B$3,'All practice data'!A:CA,A20+29,FALSE)</f>
        <v>0.6160267111853088</v>
      </c>
      <c r="O20" s="80">
        <f>VLOOKUP('Hide - Control'!C$3,'All practice data'!A:CA,A20+29,FALSE)</f>
        <v>0.4534552930810221</v>
      </c>
      <c r="P20" s="38">
        <f>VLOOKUP('Hide - Control'!$B$4,'All practice data'!B:BC,A20+1,FALSE)</f>
        <v>1476</v>
      </c>
      <c r="Q20" s="38">
        <f>VLOOKUP('Hide - Control'!$B$4,'All practice data'!B:BC,A20+2,FALSE)</f>
        <v>2396</v>
      </c>
      <c r="R20" s="38">
        <f>+((2*P20+1.96^2-1.96*SQRT(1.96^2+4*P20*(1-P20/Q20)))/(2*(Q20+1.96^2)))</f>
        <v>0.5963813369479006</v>
      </c>
      <c r="S20" s="38">
        <f>+((2*P20+1.96^2+1.96*SQRT(1.96^2+4*P20*(1-P20/Q20)))/(2*(Q20+1.96^2)))</f>
        <v>0.6353006207279726</v>
      </c>
      <c r="T20" s="53">
        <f t="shared" si="19"/>
        <v>0.8529411554336548</v>
      </c>
      <c r="U20" s="51">
        <f t="shared" si="20"/>
        <v>0.09238772839307785</v>
      </c>
      <c r="V20" s="7"/>
      <c r="W20" s="27">
        <f t="shared" si="2"/>
        <v>0.09238772839307785</v>
      </c>
      <c r="X20" s="27">
        <f t="shared" si="3"/>
        <v>1.1298344805836678</v>
      </c>
      <c r="Y20" s="27">
        <f t="shared" si="4"/>
        <v>0.09238772839307785</v>
      </c>
      <c r="Z20" s="27">
        <f t="shared" si="5"/>
        <v>1.1298344805836678</v>
      </c>
      <c r="AA20" s="32">
        <f t="shared" si="6"/>
        <v>0</v>
      </c>
      <c r="AB20" s="33">
        <f t="shared" si="7"/>
        <v>0.42124963371784035</v>
      </c>
      <c r="AC20" s="33">
        <v>0.5</v>
      </c>
      <c r="AD20" s="33">
        <f t="shared" si="8"/>
        <v>0.5615828304418067</v>
      </c>
      <c r="AE20" s="33">
        <f t="shared" si="9"/>
        <v>0.7331011692259414</v>
      </c>
      <c r="AF20" s="33">
        <f t="shared" si="10"/>
        <v>-999</v>
      </c>
      <c r="AG20" s="33">
        <f t="shared" si="11"/>
        <v>0.4212496066810363</v>
      </c>
      <c r="AH20" s="33">
        <f t="shared" si="12"/>
        <v>-999</v>
      </c>
      <c r="AI20" s="34">
        <f t="shared" si="13"/>
        <v>0.3480347920753935</v>
      </c>
      <c r="AJ20" s="4">
        <v>16.689991822403904</v>
      </c>
      <c r="AK20" s="32">
        <f t="shared" si="14"/>
        <v>-999</v>
      </c>
      <c r="AL20" s="34">
        <f t="shared" si="15"/>
        <v>-999</v>
      </c>
      <c r="AY20" s="103" t="s">
        <v>211</v>
      </c>
      <c r="AZ20" s="103" t="s">
        <v>464</v>
      </c>
      <c r="BA20" s="103" t="s">
        <v>364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175.29764078591776</v>
      </c>
      <c r="F21" s="38">
        <f>IF(LEFT(VLOOKUP($B21,'Indicator chart'!$D$1:$J$36,6,FALSE),1)=" "," ",VLOOKUP($B21,'Indicator chart'!$D$1:$J$36,6,FALSE))</f>
        <v>112.28244682462633</v>
      </c>
      <c r="G21" s="38">
        <f>IF(LEFT(VLOOKUP($B21,'Indicator chart'!$D$1:$J$36,7,FALSE),1)=" "," ",VLOOKUP($B21,'Indicator chart'!$D$1:$J$36,7,FALSE))</f>
        <v>260.8417561705601</v>
      </c>
      <c r="H21" s="50">
        <f t="shared" si="0"/>
        <v>1</v>
      </c>
      <c r="I21" s="38">
        <v>61.46357345581055</v>
      </c>
      <c r="J21" s="38">
        <v>299.40118408203125</v>
      </c>
      <c r="K21" s="38">
        <v>380.0475158691406</v>
      </c>
      <c r="L21" s="38">
        <v>494.1199645996094</v>
      </c>
      <c r="M21" s="38">
        <v>785.9949951171875</v>
      </c>
      <c r="N21" s="80">
        <f>VLOOKUP('Hide - Control'!B$3,'All practice data'!A:CA,A21+29,FALSE)</f>
        <v>400.55273299065476</v>
      </c>
      <c r="O21" s="80">
        <f>VLOOKUP('Hide - Control'!C$3,'All practice data'!A:CA,A21+29,FALSE)</f>
        <v>377.7293140102421</v>
      </c>
      <c r="P21" s="38">
        <f>VLOOKUP('Hide - Control'!$B$4,'All practice data'!B:BC,A21+2,FALSE)</f>
        <v>2690</v>
      </c>
      <c r="Q21" s="38">
        <f>VLOOKUP('Hide - Control'!$B$4,'All practice data'!B:BC,3,FALSE)</f>
        <v>671572</v>
      </c>
      <c r="R21" s="38">
        <f aca="true" t="shared" si="21" ref="R21:R27">100000*(P21*(1-1/(9*P21)-1.96/(3*SQRT(P21)))^3)/Q21</f>
        <v>385.55722547119933</v>
      </c>
      <c r="S21" s="38">
        <f aca="true" t="shared" si="22" ref="S21:S27">100000*((P21+1)*(1-1/(9*(P21+1))+1.96/(3*SQRT(P21+1)))^3)/Q21</f>
        <v>415.98203103492096</v>
      </c>
      <c r="T21" s="53">
        <f t="shared" si="19"/>
        <v>785.9949951171875</v>
      </c>
      <c r="U21" s="51">
        <f t="shared" si="20"/>
        <v>61.46357345581055</v>
      </c>
      <c r="V21" s="7"/>
      <c r="W21" s="27">
        <f t="shared" si="2"/>
        <v>-25.89996337890625</v>
      </c>
      <c r="X21" s="27">
        <f t="shared" si="3"/>
        <v>785.9949951171875</v>
      </c>
      <c r="Y21" s="27">
        <f t="shared" si="4"/>
        <v>-25.89996337890625</v>
      </c>
      <c r="Z21" s="27">
        <f t="shared" si="5"/>
        <v>785.9949951171875</v>
      </c>
      <c r="AA21" s="32">
        <f t="shared" si="6"/>
        <v>0.10760448247707295</v>
      </c>
      <c r="AB21" s="33">
        <f t="shared" si="7"/>
        <v>0.4006690078030613</v>
      </c>
      <c r="AC21" s="33">
        <v>0.5</v>
      </c>
      <c r="AD21" s="33">
        <f t="shared" si="8"/>
        <v>0.6405014867215949</v>
      </c>
      <c r="AE21" s="33">
        <f t="shared" si="9"/>
        <v>1</v>
      </c>
      <c r="AF21" s="33">
        <f t="shared" si="10"/>
        <v>-999</v>
      </c>
      <c r="AG21" s="33">
        <f t="shared" si="11"/>
        <v>-999</v>
      </c>
      <c r="AH21" s="33">
        <f t="shared" si="12"/>
        <v>0.24781235806354873</v>
      </c>
      <c r="AI21" s="34">
        <f t="shared" si="13"/>
        <v>0.49714470223686</v>
      </c>
      <c r="AJ21" s="4">
        <v>17.765987247785823</v>
      </c>
      <c r="AK21" s="32">
        <f t="shared" si="14"/>
        <v>0.24781235806354873</v>
      </c>
      <c r="AL21" s="34">
        <f t="shared" si="15"/>
        <v>-999</v>
      </c>
      <c r="AY21" s="103" t="s">
        <v>123</v>
      </c>
      <c r="AZ21" s="103" t="s">
        <v>438</v>
      </c>
      <c r="BA21" s="103" t="s">
        <v>364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32</v>
      </c>
      <c r="E22" s="38">
        <f>IF(LEFT(VLOOKUP($B22,'Indicator chart'!$D$1:$J$36,5,FALSE),1)=" "," ",VLOOKUP($B22,'Indicator chart'!$D$1:$J$36,5,FALSE))</f>
        <v>233.73018771455702</v>
      </c>
      <c r="F22" s="38">
        <f>IF(LEFT(VLOOKUP($B22,'Indicator chart'!$D$1:$J$36,6,FALSE),1)=" "," ",VLOOKUP($B22,'Indicator chart'!$D$1:$J$36,6,FALSE))</f>
        <v>159.84252298820553</v>
      </c>
      <c r="G22" s="38">
        <f>IF(LEFT(VLOOKUP($B22,'Indicator chart'!$D$1:$J$36,7,FALSE),1)=" "," ",VLOOKUP($B22,'Indicator chart'!$D$1:$J$36,7,FALSE))</f>
        <v>329.9700882934556</v>
      </c>
      <c r="H22" s="50">
        <f t="shared" si="0"/>
        <v>2</v>
      </c>
      <c r="I22" s="38">
        <v>18.07059669494629</v>
      </c>
      <c r="J22" s="38">
        <v>215.58872985839844</v>
      </c>
      <c r="K22" s="38">
        <v>295.4545593261719</v>
      </c>
      <c r="L22" s="38">
        <v>396.2279052734375</v>
      </c>
      <c r="M22" s="38">
        <v>962.861083984375</v>
      </c>
      <c r="N22" s="80">
        <f>VLOOKUP('Hide - Control'!B$3,'All practice data'!A:CA,A22+29,FALSE)</f>
        <v>314.3371075625547</v>
      </c>
      <c r="O22" s="80">
        <f>VLOOKUP('Hide - Control'!C$3,'All practice data'!A:CA,A22+29,FALSE)</f>
        <v>282.45290788403287</v>
      </c>
      <c r="P22" s="38">
        <f>VLOOKUP('Hide - Control'!$B$4,'All practice data'!B:BC,A22+2,FALSE)</f>
        <v>2111</v>
      </c>
      <c r="Q22" s="38">
        <f>VLOOKUP('Hide - Control'!$B$4,'All practice data'!B:BC,3,FALSE)</f>
        <v>671572</v>
      </c>
      <c r="R22" s="38">
        <f t="shared" si="21"/>
        <v>301.06930378828207</v>
      </c>
      <c r="S22" s="38">
        <f t="shared" si="22"/>
        <v>328.03906108657856</v>
      </c>
      <c r="T22" s="53">
        <f t="shared" si="19"/>
        <v>962.861083984375</v>
      </c>
      <c r="U22" s="51">
        <f t="shared" si="20"/>
        <v>18.07059669494629</v>
      </c>
      <c r="V22" s="7"/>
      <c r="W22" s="27">
        <f t="shared" si="2"/>
        <v>-371.95196533203125</v>
      </c>
      <c r="X22" s="27">
        <f t="shared" si="3"/>
        <v>962.861083984375</v>
      </c>
      <c r="Y22" s="27">
        <f t="shared" si="4"/>
        <v>-371.95196533203125</v>
      </c>
      <c r="Z22" s="27">
        <f t="shared" si="5"/>
        <v>962.861083984375</v>
      </c>
      <c r="AA22" s="32">
        <f t="shared" si="6"/>
        <v>0.29219264991956634</v>
      </c>
      <c r="AB22" s="33">
        <f t="shared" si="7"/>
        <v>0.4401670297509641</v>
      </c>
      <c r="AC22" s="33">
        <v>0.5</v>
      </c>
      <c r="AD22" s="33">
        <f t="shared" si="8"/>
        <v>0.5754962247326503</v>
      </c>
      <c r="AE22" s="33">
        <f t="shared" si="9"/>
        <v>1</v>
      </c>
      <c r="AF22" s="33">
        <f t="shared" si="10"/>
        <v>-999</v>
      </c>
      <c r="AG22" s="33">
        <f t="shared" si="11"/>
        <v>0.45375804001674575</v>
      </c>
      <c r="AH22" s="33">
        <f t="shared" si="12"/>
        <v>-999</v>
      </c>
      <c r="AI22" s="34">
        <f t="shared" si="13"/>
        <v>0.4902595712195071</v>
      </c>
      <c r="AJ22" s="4">
        <v>18.841982673167745</v>
      </c>
      <c r="AK22" s="32">
        <f t="shared" si="14"/>
        <v>-999</v>
      </c>
      <c r="AL22" s="34">
        <f t="shared" si="15"/>
        <v>-999</v>
      </c>
      <c r="AY22" s="103" t="s">
        <v>149</v>
      </c>
      <c r="AZ22" s="103" t="s">
        <v>448</v>
      </c>
      <c r="BA22" s="103" t="s">
        <v>364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28.4656982421875</v>
      </c>
      <c r="K23" s="38">
        <v>54.3419189453125</v>
      </c>
      <c r="L23" s="38">
        <v>73.34066772460938</v>
      </c>
      <c r="M23" s="38">
        <v>187.79342651367188</v>
      </c>
      <c r="N23" s="80">
        <f>VLOOKUP('Hide - Control'!B$3,'All practice data'!A:CA,A23+29,FALSE)</f>
        <v>59.26393595921212</v>
      </c>
      <c r="O23" s="80">
        <f>VLOOKUP('Hide - Control'!C$3,'All practice data'!A:CA,A23+29,FALSE)</f>
        <v>70.46674929228394</v>
      </c>
      <c r="P23" s="38">
        <f>VLOOKUP('Hide - Control'!$B$4,'All practice data'!B:BC,A23+2,FALSE)</f>
        <v>398</v>
      </c>
      <c r="Q23" s="38">
        <f>VLOOKUP('Hide - Control'!$B$4,'All practice data'!B:BC,3,FALSE)</f>
        <v>671572</v>
      </c>
      <c r="R23" s="38">
        <f t="shared" si="21"/>
        <v>53.58366774814627</v>
      </c>
      <c r="S23" s="38">
        <f t="shared" si="22"/>
        <v>65.38242579944394</v>
      </c>
      <c r="T23" s="53">
        <f t="shared" si="19"/>
        <v>187.79342651367188</v>
      </c>
      <c r="U23" s="51">
        <f t="shared" si="20"/>
        <v>3.248678207397461</v>
      </c>
      <c r="V23" s="7"/>
      <c r="W23" s="27">
        <f t="shared" si="2"/>
        <v>-79.10958862304688</v>
      </c>
      <c r="X23" s="27">
        <f t="shared" si="3"/>
        <v>187.79342651367188</v>
      </c>
      <c r="Y23" s="27">
        <f t="shared" si="4"/>
        <v>-79.10958862304688</v>
      </c>
      <c r="Z23" s="27">
        <f t="shared" si="5"/>
        <v>187.79342651367188</v>
      </c>
      <c r="AA23" s="32">
        <f t="shared" si="6"/>
        <v>0.3085700129249459</v>
      </c>
      <c r="AB23" s="33">
        <f t="shared" si="7"/>
        <v>0.403050099715546</v>
      </c>
      <c r="AC23" s="33">
        <v>0.5</v>
      </c>
      <c r="AD23" s="33">
        <f t="shared" si="8"/>
        <v>0.5711822186405985</v>
      </c>
      <c r="AE23" s="33">
        <f t="shared" si="9"/>
        <v>1</v>
      </c>
      <c r="AF23" s="33">
        <f t="shared" si="10"/>
        <v>-999</v>
      </c>
      <c r="AG23" s="33">
        <f t="shared" si="11"/>
        <v>-999</v>
      </c>
      <c r="AH23" s="33">
        <f t="shared" si="12"/>
        <v>-999</v>
      </c>
      <c r="AI23" s="34">
        <f t="shared" si="13"/>
        <v>0.5604145679609938</v>
      </c>
      <c r="AJ23" s="4">
        <v>19.917978098549675</v>
      </c>
      <c r="AK23" s="32">
        <f t="shared" si="14"/>
        <v>-999</v>
      </c>
      <c r="AL23" s="34">
        <f t="shared" si="15"/>
        <v>-999</v>
      </c>
      <c r="AY23" s="103" t="s">
        <v>264</v>
      </c>
      <c r="AZ23" s="103" t="s">
        <v>265</v>
      </c>
      <c r="BA23" s="103" t="s">
        <v>364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39</v>
      </c>
      <c r="E24" s="38">
        <f>IF(LEFT(VLOOKUP($B24,'Indicator chart'!$D$1:$J$36,5,FALSE),1)=" "," ",VLOOKUP($B24,'Indicator chart'!$D$1:$J$36,5,FALSE))</f>
        <v>284.85866627711636</v>
      </c>
      <c r="F24" s="38">
        <f>IF(LEFT(VLOOKUP($B24,'Indicator chart'!$D$1:$J$36,6,FALSE),1)=" "," ",VLOOKUP($B24,'Indicator chart'!$D$1:$J$36,6,FALSE))</f>
        <v>202.53666343046987</v>
      </c>
      <c r="G24" s="38">
        <f>IF(LEFT(VLOOKUP($B24,'Indicator chart'!$D$1:$J$36,7,FALSE),1)=" "," ",VLOOKUP($B24,'Indicator chart'!$D$1:$J$36,7,FALSE))</f>
        <v>389.42384205922286</v>
      </c>
      <c r="H24" s="50">
        <f t="shared" si="0"/>
        <v>2</v>
      </c>
      <c r="I24" s="38">
        <v>27.3076171875</v>
      </c>
      <c r="J24" s="38">
        <v>214.2857208251953</v>
      </c>
      <c r="K24" s="38">
        <v>297.3776550292969</v>
      </c>
      <c r="L24" s="38">
        <v>447.8126220703125</v>
      </c>
      <c r="M24" s="38">
        <v>919.0631713867188</v>
      </c>
      <c r="N24" s="80">
        <f>VLOOKUP('Hide - Control'!B$3,'All practice data'!A:CA,A24+29,FALSE)</f>
        <v>343.67126681874765</v>
      </c>
      <c r="O24" s="80">
        <f>VLOOKUP('Hide - Control'!C$3,'All practice data'!A:CA,A24+29,FALSE)</f>
        <v>323.23046266988894</v>
      </c>
      <c r="P24" s="38">
        <f>VLOOKUP('Hide - Control'!$B$4,'All practice data'!B:BC,A24+2,FALSE)</f>
        <v>2308</v>
      </c>
      <c r="Q24" s="38">
        <f>VLOOKUP('Hide - Control'!$B$4,'All practice data'!B:BC,3,FALSE)</f>
        <v>671572</v>
      </c>
      <c r="R24" s="38">
        <f t="shared" si="21"/>
        <v>329.7917102480322</v>
      </c>
      <c r="S24" s="38">
        <f t="shared" si="22"/>
        <v>357.98483586817133</v>
      </c>
      <c r="T24" s="53">
        <f t="shared" si="19"/>
        <v>919.0631713867188</v>
      </c>
      <c r="U24" s="51">
        <f t="shared" si="20"/>
        <v>27.3076171875</v>
      </c>
      <c r="V24" s="7"/>
      <c r="W24" s="27">
        <f t="shared" si="2"/>
        <v>-324.307861328125</v>
      </c>
      <c r="X24" s="27">
        <f t="shared" si="3"/>
        <v>919.0631713867188</v>
      </c>
      <c r="Y24" s="27">
        <f t="shared" si="4"/>
        <v>-324.307861328125</v>
      </c>
      <c r="Z24" s="27">
        <f t="shared" si="5"/>
        <v>919.0631713867188</v>
      </c>
      <c r="AA24" s="32">
        <f t="shared" si="6"/>
        <v>0.2827920783612665</v>
      </c>
      <c r="AB24" s="33">
        <f t="shared" si="7"/>
        <v>0.43317205241409384</v>
      </c>
      <c r="AC24" s="33">
        <v>0.5</v>
      </c>
      <c r="AD24" s="33">
        <f t="shared" si="8"/>
        <v>0.6209896025264058</v>
      </c>
      <c r="AE24" s="33">
        <f t="shared" si="9"/>
        <v>1</v>
      </c>
      <c r="AF24" s="33">
        <f t="shared" si="10"/>
        <v>-999</v>
      </c>
      <c r="AG24" s="33">
        <f t="shared" si="11"/>
        <v>0.489931413534023</v>
      </c>
      <c r="AH24" s="33">
        <f t="shared" si="12"/>
        <v>-999</v>
      </c>
      <c r="AI24" s="34">
        <f t="shared" si="13"/>
        <v>0.5207925124201612</v>
      </c>
      <c r="AJ24" s="4">
        <v>20.99397352393159</v>
      </c>
      <c r="AK24" s="32">
        <f t="shared" si="14"/>
        <v>-999</v>
      </c>
      <c r="AL24" s="34">
        <f t="shared" si="15"/>
        <v>-999</v>
      </c>
      <c r="AY24" s="103" t="s">
        <v>65</v>
      </c>
      <c r="AZ24" s="103" t="s">
        <v>66</v>
      </c>
      <c r="BA24" s="103" t="s">
        <v>544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44</v>
      </c>
      <c r="E25" s="38">
        <f>IF(LEFT(VLOOKUP($B25,'Indicator chart'!$D$1:$J$36,5,FALSE),1)=" "," ",VLOOKUP($B25,'Indicator chart'!$D$1:$J$36,5,FALSE))</f>
        <v>321.37900810751586</v>
      </c>
      <c r="F25" s="38">
        <f>IF(LEFT(VLOOKUP($B25,'Indicator chart'!$D$1:$J$36,6,FALSE),1)=" "," ",VLOOKUP($B25,'Indicator chart'!$D$1:$J$36,6,FALSE))</f>
        <v>233.49044091982572</v>
      </c>
      <c r="G25" s="38">
        <f>IF(LEFT(VLOOKUP($B25,'Indicator chart'!$D$1:$J$36,7,FALSE),1)=" "," ",VLOOKUP($B25,'Indicator chart'!$D$1:$J$36,7,FALSE))</f>
        <v>431.44885964707015</v>
      </c>
      <c r="H25" s="50">
        <f t="shared" si="0"/>
        <v>1</v>
      </c>
      <c r="I25" s="38">
        <v>185.5142822265625</v>
      </c>
      <c r="J25" s="38">
        <v>453.3678894042969</v>
      </c>
      <c r="K25" s="38">
        <v>606.7159423828125</v>
      </c>
      <c r="L25" s="38">
        <v>767.4503784179688</v>
      </c>
      <c r="M25" s="38">
        <v>1262.3726806640625</v>
      </c>
      <c r="N25" s="80">
        <f>VLOOKUP('Hide - Control'!B$3,'All practice data'!A:CA,A25+29,FALSE)</f>
        <v>628.5253107634029</v>
      </c>
      <c r="O25" s="80">
        <f>VLOOKUP('Hide - Control'!C$3,'All practice data'!A:CA,A25+29,FALSE)</f>
        <v>562.6134400960308</v>
      </c>
      <c r="P25" s="38">
        <f>VLOOKUP('Hide - Control'!$B$4,'All practice data'!B:BC,A25+2,FALSE)</f>
        <v>4221</v>
      </c>
      <c r="Q25" s="38">
        <f>VLOOKUP('Hide - Control'!$B$4,'All practice data'!B:BC,3,FALSE)</f>
        <v>671572</v>
      </c>
      <c r="R25" s="38">
        <f t="shared" si="21"/>
        <v>609.7052748795237</v>
      </c>
      <c r="S25" s="38">
        <f t="shared" si="22"/>
        <v>647.7785739998435</v>
      </c>
      <c r="T25" s="53">
        <f t="shared" si="19"/>
        <v>1262.3726806640625</v>
      </c>
      <c r="U25" s="51">
        <f t="shared" si="20"/>
        <v>185.5142822265625</v>
      </c>
      <c r="V25" s="7"/>
      <c r="W25" s="27">
        <f t="shared" si="2"/>
        <v>-48.9407958984375</v>
      </c>
      <c r="X25" s="27">
        <f t="shared" si="3"/>
        <v>1262.3726806640625</v>
      </c>
      <c r="Y25" s="27">
        <f t="shared" si="4"/>
        <v>-48.9407958984375</v>
      </c>
      <c r="Z25" s="27">
        <f t="shared" si="5"/>
        <v>1262.3726806640625</v>
      </c>
      <c r="AA25" s="32">
        <f t="shared" si="6"/>
        <v>0.1787940735113961</v>
      </c>
      <c r="AB25" s="33">
        <f t="shared" si="7"/>
        <v>0.3830576702524976</v>
      </c>
      <c r="AC25" s="33">
        <v>0.5</v>
      </c>
      <c r="AD25" s="33">
        <f t="shared" si="8"/>
        <v>0.6225751423347744</v>
      </c>
      <c r="AE25" s="33">
        <f t="shared" si="9"/>
        <v>1</v>
      </c>
      <c r="AF25" s="33">
        <f t="shared" si="10"/>
        <v>-999</v>
      </c>
      <c r="AG25" s="33">
        <f t="shared" si="11"/>
        <v>-999</v>
      </c>
      <c r="AH25" s="33">
        <f t="shared" si="12"/>
        <v>0.2824037201056731</v>
      </c>
      <c r="AI25" s="34">
        <f t="shared" si="13"/>
        <v>0.4663676892863232</v>
      </c>
      <c r="AJ25" s="4">
        <v>22.06996894931352</v>
      </c>
      <c r="AK25" s="32">
        <f t="shared" si="14"/>
        <v>0.2824037201056731</v>
      </c>
      <c r="AL25" s="34">
        <f t="shared" si="15"/>
        <v>-999</v>
      </c>
      <c r="AY25" s="103" t="s">
        <v>257</v>
      </c>
      <c r="AZ25" s="103" t="s">
        <v>258</v>
      </c>
      <c r="BA25" s="103" t="s">
        <v>544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15</v>
      </c>
      <c r="E26" s="38">
        <f>IF(LEFT(VLOOKUP($B26,'Indicator chart'!$D$1:$J$36,5,FALSE),1)=" "," ",VLOOKUP($B26,'Indicator chart'!$D$1:$J$36,5,FALSE))</f>
        <v>109.56102549119859</v>
      </c>
      <c r="F26" s="38">
        <f>IF(LEFT(VLOOKUP($B26,'Indicator chart'!$D$1:$J$36,6,FALSE),1)=" "," ",VLOOKUP($B26,'Indicator chart'!$D$1:$J$36,6,FALSE))</f>
        <v>61.27506629699387</v>
      </c>
      <c r="G26" s="38">
        <f>IF(LEFT(VLOOKUP($B26,'Indicator chart'!$D$1:$J$36,7,FALSE),1)=" "," ",VLOOKUP($B26,'Indicator chart'!$D$1:$J$36,7,FALSE))</f>
        <v>180.71597390483814</v>
      </c>
      <c r="H26" s="50">
        <f t="shared" si="0"/>
        <v>1</v>
      </c>
      <c r="I26" s="38">
        <v>68.06193542480469</v>
      </c>
      <c r="J26" s="38">
        <v>132.66998291015625</v>
      </c>
      <c r="K26" s="38">
        <v>222.22222900390625</v>
      </c>
      <c r="L26" s="38">
        <v>353.30487060546875</v>
      </c>
      <c r="M26" s="38">
        <v>730.2405395507812</v>
      </c>
      <c r="N26" s="80">
        <f>VLOOKUP('Hide - Control'!B$3,'All practice data'!A:CA,A26+29,FALSE)</f>
        <v>271.45265139106453</v>
      </c>
      <c r="O26" s="80">
        <f>VLOOKUP('Hide - Control'!C$3,'All practice data'!A:CA,A26+29,FALSE)</f>
        <v>405.57105879375996</v>
      </c>
      <c r="P26" s="38">
        <f>VLOOKUP('Hide - Control'!$B$4,'All practice data'!B:BC,A26+2,FALSE)</f>
        <v>1823</v>
      </c>
      <c r="Q26" s="38">
        <f>VLOOKUP('Hide - Control'!$B$4,'All practice data'!B:BC,3,FALSE)</f>
        <v>671572</v>
      </c>
      <c r="R26" s="38">
        <f t="shared" si="21"/>
        <v>259.13311866226303</v>
      </c>
      <c r="S26" s="38">
        <f t="shared" si="22"/>
        <v>284.20657314621764</v>
      </c>
      <c r="T26" s="53">
        <f t="shared" si="19"/>
        <v>730.2405395507812</v>
      </c>
      <c r="U26" s="51">
        <f t="shared" si="20"/>
        <v>68.06193542480469</v>
      </c>
      <c r="V26" s="7"/>
      <c r="W26" s="27">
        <f t="shared" si="2"/>
        <v>-285.79608154296875</v>
      </c>
      <c r="X26" s="27">
        <f t="shared" si="3"/>
        <v>730.2405395507812</v>
      </c>
      <c r="Y26" s="27">
        <f t="shared" si="4"/>
        <v>-285.79608154296875</v>
      </c>
      <c r="Z26" s="27">
        <f t="shared" si="5"/>
        <v>730.2405395507812</v>
      </c>
      <c r="AA26" s="32">
        <f t="shared" si="6"/>
        <v>0.34827289648954773</v>
      </c>
      <c r="AB26" s="33">
        <f t="shared" si="7"/>
        <v>0.4118612024069091</v>
      </c>
      <c r="AC26" s="33">
        <v>0.5</v>
      </c>
      <c r="AD26" s="33">
        <f t="shared" si="8"/>
        <v>0.6290136978138188</v>
      </c>
      <c r="AE26" s="33">
        <f t="shared" si="9"/>
        <v>1</v>
      </c>
      <c r="AF26" s="33">
        <f t="shared" si="10"/>
        <v>-999</v>
      </c>
      <c r="AG26" s="33">
        <f t="shared" si="11"/>
        <v>-999</v>
      </c>
      <c r="AH26" s="33">
        <f t="shared" si="12"/>
        <v>0.38911698537850997</v>
      </c>
      <c r="AI26" s="34">
        <f t="shared" si="13"/>
        <v>0.6804549422563934</v>
      </c>
      <c r="AJ26" s="4">
        <v>23.145964374695435</v>
      </c>
      <c r="AK26" s="32">
        <f t="shared" si="14"/>
        <v>0.38911698537850997</v>
      </c>
      <c r="AL26" s="34">
        <f t="shared" si="15"/>
        <v>-999</v>
      </c>
      <c r="AY26" s="103" t="s">
        <v>120</v>
      </c>
      <c r="AZ26" s="103" t="s">
        <v>437</v>
      </c>
      <c r="BA26" s="103" t="s">
        <v>364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48</v>
      </c>
      <c r="E27" s="38">
        <f>IF(LEFT(VLOOKUP($B27,'Indicator chart'!$D$1:$J$36,5,FALSE),1)=" "," ",VLOOKUP($B27,'Indicator chart'!$D$1:$J$36,5,FALSE))</f>
        <v>350.5952815718355</v>
      </c>
      <c r="F27" s="38">
        <f>IF(LEFT(VLOOKUP($B27,'Indicator chart'!$D$1:$J$36,6,FALSE),1)=" "," ",VLOOKUP($B27,'Indicator chart'!$D$1:$J$36,6,FALSE))</f>
        <v>258.4783513544585</v>
      </c>
      <c r="G27" s="38">
        <f>IF(LEFT(VLOOKUP($B27,'Indicator chart'!$D$1:$J$36,7,FALSE),1)=" "," ",VLOOKUP($B27,'Indicator chart'!$D$1:$J$36,7,FALSE))</f>
        <v>464.85091463153634</v>
      </c>
      <c r="H27" s="50">
        <f t="shared" si="0"/>
        <v>1</v>
      </c>
      <c r="I27" s="38">
        <v>249.9553680419922</v>
      </c>
      <c r="J27" s="38">
        <v>597.1422729492188</v>
      </c>
      <c r="K27" s="38">
        <v>767.8445434570312</v>
      </c>
      <c r="L27" s="38">
        <v>963.5632934570312</v>
      </c>
      <c r="M27" s="38">
        <v>1276.7177734375</v>
      </c>
      <c r="N27" s="80">
        <f>VLOOKUP('Hide - Control'!B$3,'All practice data'!A:CA,A27+29,FALSE)</f>
        <v>795.149291513047</v>
      </c>
      <c r="O27" s="80">
        <f>VLOOKUP('Hide - Control'!C$3,'All practice data'!A:CA,A27+29,FALSE)</f>
        <v>1059.3522061277838</v>
      </c>
      <c r="P27" s="38">
        <f>VLOOKUP('Hide - Control'!$B$4,'All practice data'!B:BC,A27+2,FALSE)</f>
        <v>5340</v>
      </c>
      <c r="Q27" s="38">
        <f>VLOOKUP('Hide - Control'!$B$4,'All practice data'!B:BC,3,FALSE)</f>
        <v>671572</v>
      </c>
      <c r="R27" s="38">
        <f t="shared" si="21"/>
        <v>773.9634364245452</v>
      </c>
      <c r="S27" s="38">
        <f t="shared" si="22"/>
        <v>816.7681263837072</v>
      </c>
      <c r="T27" s="53">
        <f t="shared" si="19"/>
        <v>1276.7177734375</v>
      </c>
      <c r="U27" s="51">
        <f t="shared" si="20"/>
        <v>249.9553680419922</v>
      </c>
      <c r="V27" s="7"/>
      <c r="W27" s="27">
        <f t="shared" si="2"/>
        <v>249.9553680419922</v>
      </c>
      <c r="X27" s="27">
        <f t="shared" si="3"/>
        <v>1285.7337188720703</v>
      </c>
      <c r="Y27" s="27">
        <f t="shared" si="4"/>
        <v>249.9553680419922</v>
      </c>
      <c r="Z27" s="27">
        <f t="shared" si="5"/>
        <v>1285.7337188720703</v>
      </c>
      <c r="AA27" s="32">
        <f t="shared" si="6"/>
        <v>0</v>
      </c>
      <c r="AB27" s="33">
        <f t="shared" si="7"/>
        <v>0.33519420890481944</v>
      </c>
      <c r="AC27" s="33">
        <v>0.5</v>
      </c>
      <c r="AD27" s="33">
        <f t="shared" si="8"/>
        <v>0.6889581393964741</v>
      </c>
      <c r="AE27" s="33">
        <f t="shared" si="9"/>
        <v>0.991295487661675</v>
      </c>
      <c r="AF27" s="33">
        <f t="shared" si="10"/>
        <v>-999</v>
      </c>
      <c r="AG27" s="33">
        <f t="shared" si="11"/>
        <v>-999</v>
      </c>
      <c r="AH27" s="33">
        <f t="shared" si="12"/>
        <v>0.09716356153726326</v>
      </c>
      <c r="AI27" s="34">
        <f t="shared" si="13"/>
        <v>0.781438265664789</v>
      </c>
      <c r="AJ27" s="4">
        <v>24.221959800077364</v>
      </c>
      <c r="AK27" s="32">
        <f t="shared" si="14"/>
        <v>0.09716356153726326</v>
      </c>
      <c r="AL27" s="34">
        <f t="shared" si="15"/>
        <v>-999</v>
      </c>
      <c r="AY27" s="103" t="s">
        <v>115</v>
      </c>
      <c r="AZ27" s="103" t="s">
        <v>436</v>
      </c>
      <c r="BA27" s="103" t="s">
        <v>544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32</v>
      </c>
      <c r="E28" s="38">
        <f>IF(LEFT(VLOOKUP($B28,'Indicator chart'!$D$1:$J$36,5,FALSE),1)=" "," ",VLOOKUP($B28,'Indicator chart'!$D$1:$J$36,5,FALSE))</f>
        <v>233.73018771455702</v>
      </c>
      <c r="F28" s="38">
        <f>IF(LEFT(VLOOKUP($B28,'Indicator chart'!$D$1:$J$36,6,FALSE),1)=" "," ",VLOOKUP($B28,'Indicator chart'!$D$1:$J$36,6,FALSE))</f>
        <v>159.84252298820553</v>
      </c>
      <c r="G28" s="38">
        <f>IF(LEFT(VLOOKUP($B28,'Indicator chart'!$D$1:$J$36,7,FALSE),1)=" "," ",VLOOKUP($B28,'Indicator chart'!$D$1:$J$36,7,FALSE))</f>
        <v>329.9700882934556</v>
      </c>
      <c r="H28" s="50">
        <f t="shared" si="0"/>
        <v>1</v>
      </c>
      <c r="I28" s="38">
        <v>155.9251708984375</v>
      </c>
      <c r="J28" s="38">
        <v>370.885498046875</v>
      </c>
      <c r="K28" s="38">
        <v>546.7944946289062</v>
      </c>
      <c r="L28" s="38">
        <v>676.9924926757812</v>
      </c>
      <c r="M28" s="38">
        <v>1100.41259765625</v>
      </c>
      <c r="N28" s="80">
        <f>VLOOKUP('Hide - Control'!B$3,'All practice data'!A:CA,A28+29,FALSE)</f>
        <v>547.5213379950326</v>
      </c>
      <c r="O28" s="80">
        <f>VLOOKUP('Hide - Control'!C$3,'All practice data'!A:CA,A28+29,FALSE)</f>
        <v>582.9390489900089</v>
      </c>
      <c r="P28" s="38">
        <f>VLOOKUP('Hide - Control'!$B$4,'All practice data'!B:BC,A28+2,FALSE)</f>
        <v>3677</v>
      </c>
      <c r="Q28" s="38">
        <f>VLOOKUP('Hide - Control'!$B$4,'All practice data'!B:BC,3,FALSE)</f>
        <v>671572</v>
      </c>
      <c r="R28" s="38">
        <f>100000*(P28*(1-1/(9*P28)-1.96/(3*SQRT(P28)))^3)/Q28</f>
        <v>529.9653265119181</v>
      </c>
      <c r="S28" s="38">
        <f>100000*((P28+1)*(1-1/(9*(P28+1))+1.96/(3*SQRT(P28+1)))^3)/Q28</f>
        <v>565.5107361330246</v>
      </c>
      <c r="T28" s="53">
        <f t="shared" si="19"/>
        <v>1100.41259765625</v>
      </c>
      <c r="U28" s="51">
        <f t="shared" si="20"/>
        <v>155.9251708984375</v>
      </c>
      <c r="V28" s="7"/>
      <c r="W28" s="27">
        <f t="shared" si="2"/>
        <v>-6.8236083984375</v>
      </c>
      <c r="X28" s="27">
        <f t="shared" si="3"/>
        <v>1100.41259765625</v>
      </c>
      <c r="Y28" s="27">
        <f t="shared" si="4"/>
        <v>-6.8236083984375</v>
      </c>
      <c r="Z28" s="27">
        <f t="shared" si="5"/>
        <v>1100.41259765625</v>
      </c>
      <c r="AA28" s="32">
        <f t="shared" si="6"/>
        <v>0.1469865042408455</v>
      </c>
      <c r="AB28" s="33">
        <f t="shared" si="7"/>
        <v>0.34112785002864787</v>
      </c>
      <c r="AC28" s="33">
        <v>0.5</v>
      </c>
      <c r="AD28" s="33">
        <f t="shared" si="8"/>
        <v>0.6175882773114849</v>
      </c>
      <c r="AE28" s="33">
        <f t="shared" si="9"/>
        <v>1</v>
      </c>
      <c r="AF28" s="33">
        <f t="shared" si="10"/>
        <v>-999</v>
      </c>
      <c r="AG28" s="33">
        <f t="shared" si="11"/>
        <v>-999</v>
      </c>
      <c r="AH28" s="33">
        <f t="shared" si="12"/>
        <v>0.21725607851114048</v>
      </c>
      <c r="AI28" s="34">
        <f t="shared" si="13"/>
        <v>0.5326439418829098</v>
      </c>
      <c r="AJ28" s="4">
        <v>25.297955225459287</v>
      </c>
      <c r="AK28" s="32">
        <f t="shared" si="14"/>
        <v>0.21725607851114048</v>
      </c>
      <c r="AL28" s="34">
        <f t="shared" si="15"/>
        <v>-999</v>
      </c>
      <c r="AY28" s="103" t="s">
        <v>241</v>
      </c>
      <c r="AZ28" s="103" t="s">
        <v>242</v>
      </c>
      <c r="BA28" s="103" t="s">
        <v>544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439</v>
      </c>
      <c r="BA29" s="103" t="s">
        <v>364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460</v>
      </c>
      <c r="BA31" s="103" t="s">
        <v>364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419</v>
      </c>
      <c r="BA32" s="103" t="s">
        <v>364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484</v>
      </c>
      <c r="BA33" s="103" t="s">
        <v>544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364</v>
      </c>
      <c r="BB34" s="10">
        <v>532801</v>
      </c>
      <c r="BE34" s="77"/>
      <c r="BF34" s="253"/>
    </row>
    <row r="35" spans="2:58" ht="12.75">
      <c r="B35" s="17" t="s">
        <v>41</v>
      </c>
      <c r="C35" s="18"/>
      <c r="H35" s="290" t="s">
        <v>636</v>
      </c>
      <c r="I35" s="291"/>
      <c r="Y35" s="43"/>
      <c r="Z35" s="44"/>
      <c r="AA35" s="44"/>
      <c r="AB35" s="43"/>
      <c r="AC35" s="43"/>
      <c r="AY35" s="103" t="s">
        <v>159</v>
      </c>
      <c r="AZ35" s="103" t="s">
        <v>452</v>
      </c>
      <c r="BA35" s="103" t="s">
        <v>364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441</v>
      </c>
      <c r="BA36" s="103" t="s">
        <v>364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458</v>
      </c>
      <c r="BA37" s="103" t="s">
        <v>364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364</v>
      </c>
      <c r="BB40" s="10">
        <v>714731</v>
      </c>
      <c r="BF40" s="252"/>
    </row>
    <row r="41" spans="1:58" ht="12.75">
      <c r="A41" s="3"/>
      <c r="B41" s="71"/>
      <c r="C41" s="3"/>
      <c r="T41" s="13"/>
      <c r="U41" s="2"/>
      <c r="W41" s="2"/>
      <c r="X41" s="10"/>
      <c r="Y41" s="44"/>
      <c r="Z41" s="44"/>
      <c r="AA41" s="44"/>
      <c r="AB41" s="44"/>
      <c r="AC41" s="44"/>
      <c r="AD41" s="2"/>
      <c r="AE41" s="2"/>
      <c r="AY41" s="103" t="s">
        <v>272</v>
      </c>
      <c r="AZ41" s="103" t="s">
        <v>485</v>
      </c>
      <c r="BA41" s="103" t="s">
        <v>544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482</v>
      </c>
      <c r="BA43" s="103" t="s">
        <v>364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470</v>
      </c>
      <c r="BA44" s="103" t="s">
        <v>364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461</v>
      </c>
      <c r="BA46" s="103" t="s">
        <v>544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465</v>
      </c>
      <c r="BA48" s="103" t="s">
        <v>544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476</v>
      </c>
      <c r="BA49" s="103" t="s">
        <v>544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442</v>
      </c>
      <c r="BA51" s="103" t="s">
        <v>364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364</v>
      </c>
      <c r="BB52" s="10">
        <v>611636</v>
      </c>
      <c r="BF52" s="252"/>
    </row>
    <row r="53" spans="1:58" ht="12.75">
      <c r="A53" s="3"/>
      <c r="B53" s="12"/>
      <c r="C53" s="3"/>
      <c r="I53" s="11"/>
      <c r="J53" s="11"/>
      <c r="K53" s="11"/>
      <c r="L53" s="11"/>
      <c r="S53" s="11"/>
      <c r="U53" s="2"/>
      <c r="X53" s="2"/>
      <c r="Y53" s="2"/>
      <c r="Z53" s="2"/>
      <c r="AA53" s="2"/>
      <c r="AB53" s="2"/>
      <c r="AY53" s="103" t="s">
        <v>244</v>
      </c>
      <c r="AZ53" s="103" t="s">
        <v>475</v>
      </c>
      <c r="BA53" s="103" t="s">
        <v>364</v>
      </c>
      <c r="BB53" s="10">
        <v>230998</v>
      </c>
      <c r="BF53" s="252"/>
    </row>
    <row r="54" spans="1:58" ht="12.75">
      <c r="A54" s="3"/>
      <c r="B54" s="12"/>
      <c r="C54" s="3"/>
      <c r="I54" s="11"/>
      <c r="J54" s="11"/>
      <c r="K54" s="11"/>
      <c r="L54" s="11"/>
      <c r="S54" s="11"/>
      <c r="U54" s="2"/>
      <c r="X54" s="2"/>
      <c r="Y54" s="2"/>
      <c r="Z54" s="2"/>
      <c r="AA54" s="2"/>
      <c r="AB54" s="2"/>
      <c r="AY54" s="103" t="s">
        <v>67</v>
      </c>
      <c r="AZ54" s="103" t="s">
        <v>416</v>
      </c>
      <c r="BA54" s="103" t="s">
        <v>364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462</v>
      </c>
      <c r="BA55" s="103" t="s">
        <v>364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432</v>
      </c>
      <c r="BA56" s="103" t="s">
        <v>364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477</v>
      </c>
      <c r="BA57" s="103" t="s">
        <v>364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422</v>
      </c>
      <c r="BA58" s="103" t="s">
        <v>364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466</v>
      </c>
      <c r="BA61" s="103" t="s">
        <v>544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455</v>
      </c>
      <c r="BA63" s="103" t="s">
        <v>364</v>
      </c>
      <c r="BB63" s="10">
        <v>318405</v>
      </c>
      <c r="BE63" s="70"/>
      <c r="BF63" s="239"/>
    </row>
    <row r="64" spans="1:58" ht="12.75">
      <c r="A64" s="3"/>
      <c r="B64" s="12"/>
      <c r="C64" s="3"/>
      <c r="I64" s="11"/>
      <c r="V64" s="3"/>
      <c r="AY64" s="103" t="s">
        <v>78</v>
      </c>
      <c r="AZ64" s="103" t="s">
        <v>423</v>
      </c>
      <c r="BA64" s="103" t="s">
        <v>544</v>
      </c>
      <c r="BB64" s="10">
        <v>181285</v>
      </c>
      <c r="BE64" s="70"/>
      <c r="BF64" s="241"/>
    </row>
    <row r="65" spans="1:58" ht="12.75">
      <c r="A65" s="3"/>
      <c r="B65" s="12"/>
      <c r="C65" s="3"/>
      <c r="AY65" s="103" t="s">
        <v>533</v>
      </c>
      <c r="AZ65" s="103" t="s">
        <v>534</v>
      </c>
      <c r="BA65" s="103" t="s">
        <v>364</v>
      </c>
      <c r="BB65" s="10">
        <v>1169302</v>
      </c>
      <c r="BE65" s="70"/>
      <c r="BF65" s="241"/>
    </row>
    <row r="66" spans="1:58" ht="12.75">
      <c r="A66" s="3"/>
      <c r="B66" s="12"/>
      <c r="C66" s="3"/>
      <c r="E66" s="2"/>
      <c r="F66" s="2"/>
      <c r="G66" s="2"/>
      <c r="V66" s="2"/>
      <c r="AY66" s="103" t="s">
        <v>200</v>
      </c>
      <c r="AZ66" s="103" t="s">
        <v>463</v>
      </c>
      <c r="BA66" s="103" t="s">
        <v>364</v>
      </c>
      <c r="BB66" s="10">
        <v>217916</v>
      </c>
      <c r="BE66" s="70"/>
      <c r="BF66" s="239"/>
    </row>
    <row r="67" spans="1:58" ht="12.75">
      <c r="A67" s="3"/>
      <c r="B67" s="12"/>
      <c r="C67" s="3"/>
      <c r="AY67" s="103" t="s">
        <v>69</v>
      </c>
      <c r="AZ67" s="103" t="s">
        <v>70</v>
      </c>
      <c r="BA67" s="103" t="s">
        <v>364</v>
      </c>
      <c r="BB67" s="10">
        <v>270842</v>
      </c>
      <c r="BE67" s="70"/>
      <c r="BF67" s="239"/>
    </row>
    <row r="68" spans="1:58" ht="12.75">
      <c r="A68" s="3"/>
      <c r="B68" s="12"/>
      <c r="C68" s="3"/>
      <c r="AY68" s="103" t="s">
        <v>109</v>
      </c>
      <c r="AZ68" s="103" t="s">
        <v>110</v>
      </c>
      <c r="BA68" s="103" t="s">
        <v>364</v>
      </c>
      <c r="BB68" s="10">
        <v>251613</v>
      </c>
      <c r="BF68" s="252"/>
    </row>
    <row r="69" spans="1:58" ht="12.75">
      <c r="A69" s="3"/>
      <c r="B69" s="12"/>
      <c r="C69" s="3"/>
      <c r="AY69" s="103" t="s">
        <v>209</v>
      </c>
      <c r="AZ69" s="103" t="s">
        <v>210</v>
      </c>
      <c r="BA69" s="103" t="s">
        <v>364</v>
      </c>
      <c r="BB69" s="10">
        <v>283547</v>
      </c>
      <c r="BE69" s="70"/>
      <c r="BF69" s="241"/>
    </row>
    <row r="70" spans="1:58" ht="12.75">
      <c r="A70" s="3"/>
      <c r="B70" s="12"/>
      <c r="C70" s="3"/>
      <c r="AY70" s="103" t="s">
        <v>275</v>
      </c>
      <c r="AZ70" s="103" t="s">
        <v>486</v>
      </c>
      <c r="BA70" s="103" t="s">
        <v>543</v>
      </c>
      <c r="BB70" s="10">
        <v>141474</v>
      </c>
      <c r="BE70" s="70"/>
      <c r="BF70" s="239"/>
    </row>
    <row r="71" spans="1:58" ht="12.75">
      <c r="A71" s="3"/>
      <c r="B71" s="12"/>
      <c r="C71" s="3"/>
      <c r="AY71" s="103" t="s">
        <v>127</v>
      </c>
      <c r="AZ71" s="103" t="s">
        <v>440</v>
      </c>
      <c r="BA71" s="103" t="s">
        <v>364</v>
      </c>
      <c r="BB71" s="10">
        <v>213326</v>
      </c>
      <c r="BE71" s="70"/>
      <c r="BF71" s="239"/>
    </row>
    <row r="72" spans="1:58" ht="12.75">
      <c r="A72" s="3"/>
      <c r="B72" s="12"/>
      <c r="C72" s="3"/>
      <c r="AY72" s="103" t="s">
        <v>136</v>
      </c>
      <c r="AZ72" s="103" t="s">
        <v>137</v>
      </c>
      <c r="BA72" s="103" t="s">
        <v>364</v>
      </c>
      <c r="BB72" s="10">
        <v>183220</v>
      </c>
      <c r="BE72" s="250"/>
      <c r="BF72" s="239"/>
    </row>
    <row r="73" spans="1:58" ht="12.75">
      <c r="A73" s="3"/>
      <c r="B73" s="12"/>
      <c r="C73" s="3"/>
      <c r="AY73" s="103" t="s">
        <v>64</v>
      </c>
      <c r="AZ73" s="103" t="s">
        <v>415</v>
      </c>
      <c r="BA73" s="103" t="s">
        <v>364</v>
      </c>
      <c r="BB73" s="10">
        <v>190143</v>
      </c>
      <c r="BE73" s="70"/>
      <c r="BF73" s="239"/>
    </row>
    <row r="74" spans="1:58" ht="12.75">
      <c r="A74" s="3"/>
      <c r="B74" s="12"/>
      <c r="C74" s="3"/>
      <c r="AY74" s="103" t="s">
        <v>165</v>
      </c>
      <c r="AZ74" s="103" t="s">
        <v>166</v>
      </c>
      <c r="BA74" s="103" t="s">
        <v>544</v>
      </c>
      <c r="BB74" s="10">
        <v>419928</v>
      </c>
      <c r="BE74" s="70"/>
      <c r="BF74" s="241"/>
    </row>
    <row r="75" spans="1:58" ht="12.75">
      <c r="A75" s="3"/>
      <c r="B75" s="12"/>
      <c r="C75" s="3"/>
      <c r="AY75" s="103" t="s">
        <v>113</v>
      </c>
      <c r="AZ75" s="103" t="s">
        <v>434</v>
      </c>
      <c r="BA75" s="103" t="s">
        <v>364</v>
      </c>
      <c r="BB75" s="10">
        <v>158106</v>
      </c>
      <c r="BE75" s="70"/>
      <c r="BF75" s="241"/>
    </row>
    <row r="76" spans="1:58" ht="12.75">
      <c r="A76" s="3"/>
      <c r="B76" s="12"/>
      <c r="C76" s="3"/>
      <c r="AY76" s="103" t="s">
        <v>140</v>
      </c>
      <c r="AZ76" s="103" t="s">
        <v>141</v>
      </c>
      <c r="BA76" s="103" t="s">
        <v>364</v>
      </c>
      <c r="BB76" s="10">
        <v>377807</v>
      </c>
      <c r="BE76" s="70"/>
      <c r="BF76" s="241"/>
    </row>
    <row r="77" spans="1:58" ht="12.75">
      <c r="A77" s="3"/>
      <c r="B77" s="12"/>
      <c r="C77" s="3"/>
      <c r="AY77" s="103" t="s">
        <v>163</v>
      </c>
      <c r="AZ77" s="103" t="s">
        <v>164</v>
      </c>
      <c r="BA77" s="103" t="s">
        <v>544</v>
      </c>
      <c r="BB77" s="10">
        <v>799634</v>
      </c>
      <c r="BE77" s="70"/>
      <c r="BF77" s="249"/>
    </row>
    <row r="78" spans="1:58" ht="12.75">
      <c r="A78" s="3"/>
      <c r="B78" s="12"/>
      <c r="C78" s="3"/>
      <c r="AY78" s="103" t="s">
        <v>224</v>
      </c>
      <c r="AZ78" s="103" t="s">
        <v>225</v>
      </c>
      <c r="BA78" s="103" t="s">
        <v>364</v>
      </c>
      <c r="BB78" s="10">
        <v>362638</v>
      </c>
      <c r="BE78" s="70"/>
      <c r="BF78" s="239"/>
    </row>
    <row r="79" spans="1:58" ht="12.75">
      <c r="A79" s="3"/>
      <c r="B79" s="12"/>
      <c r="C79" s="3"/>
      <c r="AY79" s="103" t="s">
        <v>223</v>
      </c>
      <c r="AZ79" s="103" t="s">
        <v>468</v>
      </c>
      <c r="BA79" s="103" t="s">
        <v>364</v>
      </c>
      <c r="BB79" s="10">
        <v>678998</v>
      </c>
      <c r="BF79" s="239"/>
    </row>
    <row r="80" spans="1:58" ht="12.75">
      <c r="A80" s="3"/>
      <c r="B80" s="12"/>
      <c r="C80" s="3"/>
      <c r="AY80" s="103" t="s">
        <v>144</v>
      </c>
      <c r="AZ80" s="103" t="s">
        <v>145</v>
      </c>
      <c r="BA80" s="103" t="s">
        <v>364</v>
      </c>
      <c r="BB80" s="10">
        <v>290986</v>
      </c>
      <c r="BF80" s="252"/>
    </row>
    <row r="81" spans="1:58" ht="12.75">
      <c r="A81" s="3"/>
      <c r="B81" s="12"/>
      <c r="C81" s="3"/>
      <c r="AY81" s="103" t="s">
        <v>178</v>
      </c>
      <c r="AZ81" s="103" t="s">
        <v>457</v>
      </c>
      <c r="BA81" s="103" t="s">
        <v>544</v>
      </c>
      <c r="BB81" s="10">
        <v>747976</v>
      </c>
      <c r="BF81" s="252"/>
    </row>
    <row r="82" spans="1:58" ht="12.75">
      <c r="A82" s="3"/>
      <c r="B82" s="12"/>
      <c r="C82" s="3"/>
      <c r="AY82" s="103" t="s">
        <v>193</v>
      </c>
      <c r="AZ82" s="103" t="s">
        <v>194</v>
      </c>
      <c r="BA82" s="103" t="s">
        <v>364</v>
      </c>
      <c r="BB82" s="10">
        <v>489140</v>
      </c>
      <c r="BF82" s="252"/>
    </row>
    <row r="83" spans="1:58" ht="12.75">
      <c r="A83" s="3"/>
      <c r="B83" s="12"/>
      <c r="C83" s="3"/>
      <c r="AY83" s="103" t="s">
        <v>98</v>
      </c>
      <c r="AZ83" s="103" t="s">
        <v>431</v>
      </c>
      <c r="BA83" s="103" t="s">
        <v>544</v>
      </c>
      <c r="BB83" s="10">
        <v>208442</v>
      </c>
      <c r="BE83" s="70"/>
      <c r="BF83" s="241"/>
    </row>
    <row r="84" spans="1:58" ht="12.75">
      <c r="A84" s="3"/>
      <c r="B84" s="12"/>
      <c r="C84" s="3"/>
      <c r="AY84" s="103" t="s">
        <v>203</v>
      </c>
      <c r="AZ84" s="103" t="s">
        <v>204</v>
      </c>
      <c r="BA84" s="103" t="s">
        <v>544</v>
      </c>
      <c r="BB84" s="10">
        <v>545543</v>
      </c>
      <c r="BE84" s="70"/>
      <c r="BF84" s="241"/>
    </row>
    <row r="85" spans="1:58" ht="12.75">
      <c r="A85" s="3"/>
      <c r="B85" s="12"/>
      <c r="C85" s="3"/>
      <c r="AY85" s="103" t="s">
        <v>135</v>
      </c>
      <c r="AZ85" s="103" t="s">
        <v>446</v>
      </c>
      <c r="BA85" s="103" t="s">
        <v>544</v>
      </c>
      <c r="BB85" s="10">
        <v>274067</v>
      </c>
      <c r="BE85" s="70"/>
      <c r="BF85" s="241"/>
    </row>
    <row r="86" spans="1:58" ht="12.75">
      <c r="A86" s="3"/>
      <c r="B86" s="12"/>
      <c r="C86" s="3"/>
      <c r="AY86" s="103" t="s">
        <v>251</v>
      </c>
      <c r="AZ86" s="103" t="s">
        <v>252</v>
      </c>
      <c r="BA86" s="103" t="s">
        <v>544</v>
      </c>
      <c r="BB86" s="10">
        <v>374861</v>
      </c>
      <c r="BE86" s="70"/>
      <c r="BF86" s="249"/>
    </row>
    <row r="87" spans="1:58" ht="12.75">
      <c r="A87" s="3"/>
      <c r="B87" s="12"/>
      <c r="C87" s="3"/>
      <c r="AY87" s="103" t="s">
        <v>132</v>
      </c>
      <c r="AZ87" s="103" t="s">
        <v>133</v>
      </c>
      <c r="BA87" s="103" t="s">
        <v>364</v>
      </c>
      <c r="BB87" s="10">
        <v>153833</v>
      </c>
      <c r="BE87" s="70"/>
      <c r="BF87" s="249"/>
    </row>
    <row r="88" spans="1:58" ht="12.75">
      <c r="A88" s="3"/>
      <c r="B88" s="12"/>
      <c r="C88" s="3"/>
      <c r="AY88" s="103" t="s">
        <v>79</v>
      </c>
      <c r="AZ88" s="103" t="s">
        <v>80</v>
      </c>
      <c r="BA88" s="103" t="s">
        <v>544</v>
      </c>
      <c r="BB88" s="10">
        <v>258492</v>
      </c>
      <c r="BE88" s="70"/>
      <c r="BF88" s="241"/>
    </row>
    <row r="89" spans="1:58" ht="12.75">
      <c r="A89" s="3"/>
      <c r="B89" s="12"/>
      <c r="C89" s="3"/>
      <c r="AY89" s="103" t="s">
        <v>81</v>
      </c>
      <c r="AZ89" s="103" t="s">
        <v>424</v>
      </c>
      <c r="BA89" s="103" t="s">
        <v>364</v>
      </c>
      <c r="BB89" s="10">
        <v>283085</v>
      </c>
      <c r="BE89" s="70"/>
      <c r="BF89" s="241"/>
    </row>
    <row r="90" spans="1:58" ht="12.75">
      <c r="A90" s="3"/>
      <c r="B90" s="12"/>
      <c r="C90" s="3"/>
      <c r="AY90" s="103" t="s">
        <v>76</v>
      </c>
      <c r="AZ90" s="103" t="s">
        <v>421</v>
      </c>
      <c r="BA90" s="103" t="s">
        <v>364</v>
      </c>
      <c r="BB90" s="10">
        <v>357346</v>
      </c>
      <c r="BE90" s="70"/>
      <c r="BF90" s="241"/>
    </row>
    <row r="91" spans="1:58" ht="12.75">
      <c r="A91" s="3"/>
      <c r="B91" s="12"/>
      <c r="C91" s="3"/>
      <c r="AY91" s="103" t="s">
        <v>243</v>
      </c>
      <c r="AZ91" s="103" t="s">
        <v>474</v>
      </c>
      <c r="BA91" s="103" t="s">
        <v>544</v>
      </c>
      <c r="BB91" s="10">
        <v>748575</v>
      </c>
      <c r="BE91" s="247"/>
      <c r="BF91" s="249"/>
    </row>
    <row r="92" spans="1:58" ht="12.75">
      <c r="A92" s="3"/>
      <c r="B92" s="12"/>
      <c r="C92" s="3"/>
      <c r="AY92" s="103" t="s">
        <v>249</v>
      </c>
      <c r="AZ92" s="103" t="s">
        <v>250</v>
      </c>
      <c r="BA92" s="103" t="s">
        <v>544</v>
      </c>
      <c r="BB92" s="10">
        <v>322673</v>
      </c>
      <c r="BE92" s="247"/>
      <c r="BF92" s="249"/>
    </row>
    <row r="93" spans="1:58" ht="12.75">
      <c r="A93" s="3"/>
      <c r="B93" s="12"/>
      <c r="C93" s="3"/>
      <c r="AY93" s="103" t="s">
        <v>58</v>
      </c>
      <c r="AZ93" s="103" t="s">
        <v>59</v>
      </c>
      <c r="BA93" s="103" t="s">
        <v>364</v>
      </c>
      <c r="BB93" s="10">
        <v>165284</v>
      </c>
      <c r="BF93" s="252"/>
    </row>
    <row r="94" spans="1:58" ht="12.75">
      <c r="A94" s="3"/>
      <c r="B94" s="12"/>
      <c r="C94" s="3"/>
      <c r="AY94" s="103" t="s">
        <v>186</v>
      </c>
      <c r="AZ94" s="103" t="s">
        <v>459</v>
      </c>
      <c r="BA94" s="103" t="s">
        <v>364</v>
      </c>
      <c r="BB94" s="10">
        <v>339272</v>
      </c>
      <c r="BE94" s="70"/>
      <c r="BF94" s="241"/>
    </row>
    <row r="95" spans="1:58" ht="12.75">
      <c r="A95" s="3"/>
      <c r="B95" s="12"/>
      <c r="C95" s="3"/>
      <c r="AY95" s="103" t="s">
        <v>86</v>
      </c>
      <c r="AZ95" s="103" t="s">
        <v>87</v>
      </c>
      <c r="BA95" s="103" t="s">
        <v>364</v>
      </c>
      <c r="BB95" s="10">
        <v>165642</v>
      </c>
      <c r="BE95" s="247"/>
      <c r="BF95" s="249"/>
    </row>
    <row r="96" spans="1:58" ht="12.75">
      <c r="A96" s="3"/>
      <c r="B96" s="12"/>
      <c r="C96" s="3"/>
      <c r="AY96" s="103" t="s">
        <v>157</v>
      </c>
      <c r="AZ96" s="103" t="s">
        <v>158</v>
      </c>
      <c r="BA96" s="103" t="s">
        <v>364</v>
      </c>
      <c r="BB96" s="10">
        <v>208351</v>
      </c>
      <c r="BE96" s="243"/>
      <c r="BF96" s="238"/>
    </row>
    <row r="97" spans="1:58" ht="12.75">
      <c r="A97" s="3"/>
      <c r="B97" s="12"/>
      <c r="C97" s="3"/>
      <c r="AY97" s="103" t="s">
        <v>231</v>
      </c>
      <c r="AZ97" s="103" t="s">
        <v>232</v>
      </c>
      <c r="BA97" s="103" t="s">
        <v>364</v>
      </c>
      <c r="BB97" s="10">
        <v>203178</v>
      </c>
      <c r="BE97" s="243"/>
      <c r="BF97" s="238"/>
    </row>
    <row r="98" spans="1:58" ht="12.75">
      <c r="A98" s="3"/>
      <c r="B98" s="12"/>
      <c r="C98" s="3"/>
      <c r="AY98" s="103" t="s">
        <v>82</v>
      </c>
      <c r="AZ98" s="103" t="s">
        <v>425</v>
      </c>
      <c r="BA98" s="103" t="s">
        <v>364</v>
      </c>
      <c r="BB98" s="10">
        <v>214052</v>
      </c>
      <c r="BE98" s="248"/>
      <c r="BF98" s="241"/>
    </row>
    <row r="99" spans="1:58" ht="12.75">
      <c r="A99" s="3"/>
      <c r="B99" s="12"/>
      <c r="C99" s="3"/>
      <c r="AY99" s="103" t="s">
        <v>205</v>
      </c>
      <c r="AZ99" s="103" t="s">
        <v>206</v>
      </c>
      <c r="BA99" s="103" t="s">
        <v>544</v>
      </c>
      <c r="BB99" s="10">
        <v>795503</v>
      </c>
      <c r="BE99" s="70"/>
      <c r="BF99" s="249"/>
    </row>
    <row r="100" spans="1:58" ht="12.75">
      <c r="A100" s="3"/>
      <c r="B100" s="12"/>
      <c r="C100" s="3"/>
      <c r="AY100" s="103" t="s">
        <v>226</v>
      </c>
      <c r="AZ100" s="103" t="s">
        <v>469</v>
      </c>
      <c r="BA100" s="103" t="s">
        <v>364</v>
      </c>
      <c r="BB100" s="10">
        <v>648340</v>
      </c>
      <c r="BE100" s="70"/>
      <c r="BF100" s="249"/>
    </row>
    <row r="101" spans="51:58" ht="12.75">
      <c r="AY101" s="103" t="s">
        <v>51</v>
      </c>
      <c r="AZ101" s="103" t="s">
        <v>52</v>
      </c>
      <c r="BA101" s="103" t="s">
        <v>364</v>
      </c>
      <c r="BB101" s="10">
        <v>320818</v>
      </c>
      <c r="BE101" s="237"/>
      <c r="BF101" s="238"/>
    </row>
    <row r="102" spans="51:58" ht="12.75">
      <c r="AY102" s="103" t="s">
        <v>88</v>
      </c>
      <c r="AZ102" s="103" t="s">
        <v>89</v>
      </c>
      <c r="BA102" s="103" t="s">
        <v>364</v>
      </c>
      <c r="BB102" s="10">
        <v>339920</v>
      </c>
      <c r="BE102" s="237"/>
      <c r="BF102" s="238"/>
    </row>
    <row r="103" spans="51:58" ht="12.75">
      <c r="AY103" s="103" t="s">
        <v>177</v>
      </c>
      <c r="AZ103" s="103" t="s">
        <v>456</v>
      </c>
      <c r="BA103" s="103" t="s">
        <v>364</v>
      </c>
      <c r="BB103" s="10">
        <v>656875</v>
      </c>
      <c r="BE103" s="70"/>
      <c r="BF103" s="239"/>
    </row>
    <row r="104" spans="51:58" ht="12.75">
      <c r="AY104" s="103" t="s">
        <v>114</v>
      </c>
      <c r="AZ104" s="103" t="s">
        <v>435</v>
      </c>
      <c r="BA104" s="103" t="s">
        <v>364</v>
      </c>
      <c r="BB104" s="10">
        <v>236592</v>
      </c>
      <c r="BF104" s="252"/>
    </row>
    <row r="105" spans="51:58" ht="12.75">
      <c r="AY105" s="103" t="s">
        <v>259</v>
      </c>
      <c r="AZ105" s="103" t="s">
        <v>478</v>
      </c>
      <c r="BA105" s="103" t="s">
        <v>544</v>
      </c>
      <c r="BB105" s="10">
        <v>671572</v>
      </c>
      <c r="BE105" s="237"/>
      <c r="BF105" s="238"/>
    </row>
    <row r="106" spans="51:58" ht="12.75">
      <c r="AY106" s="103" t="s">
        <v>239</v>
      </c>
      <c r="AZ106" s="103" t="s">
        <v>240</v>
      </c>
      <c r="BA106" s="103" t="s">
        <v>544</v>
      </c>
      <c r="BB106" s="10">
        <v>177882</v>
      </c>
      <c r="BF106" s="252"/>
    </row>
    <row r="107" spans="51:58" ht="12.75">
      <c r="AY107" s="103" t="s">
        <v>91</v>
      </c>
      <c r="AZ107" s="103" t="s">
        <v>428</v>
      </c>
      <c r="BA107" s="103" t="s">
        <v>364</v>
      </c>
      <c r="BB107" s="10">
        <v>274443</v>
      </c>
      <c r="BF107" s="252"/>
    </row>
    <row r="108" spans="51:58" ht="12.75">
      <c r="AY108" s="103" t="s">
        <v>95</v>
      </c>
      <c r="AZ108" s="103" t="s">
        <v>430</v>
      </c>
      <c r="BA108" s="103" t="s">
        <v>364</v>
      </c>
      <c r="BB108" s="10">
        <v>213174</v>
      </c>
      <c r="BE108" s="70"/>
      <c r="BF108" s="239"/>
    </row>
    <row r="109" spans="51:58" ht="12.75">
      <c r="AY109" s="103" t="s">
        <v>179</v>
      </c>
      <c r="AZ109" s="103" t="s">
        <v>180</v>
      </c>
      <c r="BA109" s="103" t="s">
        <v>364</v>
      </c>
      <c r="BB109" s="10">
        <v>278950</v>
      </c>
      <c r="BE109" s="237"/>
      <c r="BF109" s="238"/>
    </row>
    <row r="110" spans="51:58" ht="12.75">
      <c r="AY110" s="103" t="s">
        <v>273</v>
      </c>
      <c r="AZ110" s="103" t="s">
        <v>274</v>
      </c>
      <c r="BA110" s="103" t="s">
        <v>364</v>
      </c>
      <c r="BB110" s="10">
        <v>133304</v>
      </c>
      <c r="BE110" s="70"/>
      <c r="BF110" s="249"/>
    </row>
    <row r="111" spans="51:58" ht="12.75">
      <c r="AY111" s="103" t="s">
        <v>155</v>
      </c>
      <c r="AZ111" s="103" t="s">
        <v>450</v>
      </c>
      <c r="BA111" s="103" t="s">
        <v>364</v>
      </c>
      <c r="BB111" s="10">
        <v>197060</v>
      </c>
      <c r="BE111" s="70"/>
      <c r="BF111" s="239"/>
    </row>
    <row r="112" spans="51:58" ht="12.75">
      <c r="AY112" s="103" t="s">
        <v>100</v>
      </c>
      <c r="AZ112" s="103" t="s">
        <v>101</v>
      </c>
      <c r="BA112" s="103" t="s">
        <v>364</v>
      </c>
      <c r="BB112" s="10">
        <v>253140</v>
      </c>
      <c r="BE112" s="250"/>
      <c r="BF112" s="249"/>
    </row>
    <row r="113" spans="51:58" ht="12.75">
      <c r="AY113" s="103" t="s">
        <v>92</v>
      </c>
      <c r="AZ113" s="103" t="s">
        <v>93</v>
      </c>
      <c r="BA113" s="103" t="s">
        <v>364</v>
      </c>
      <c r="BB113" s="10">
        <v>240983</v>
      </c>
      <c r="BE113" s="70"/>
      <c r="BF113" s="241"/>
    </row>
    <row r="114" spans="51:58" ht="12.75">
      <c r="AY114" s="103" t="s">
        <v>228</v>
      </c>
      <c r="AZ114" s="103" t="s">
        <v>471</v>
      </c>
      <c r="BA114" s="103" t="s">
        <v>364</v>
      </c>
      <c r="BB114" s="10">
        <v>340451</v>
      </c>
      <c r="BF114" s="241"/>
    </row>
    <row r="115" spans="51:58" ht="12.75">
      <c r="AY115" s="103" t="s">
        <v>189</v>
      </c>
      <c r="AZ115" s="103" t="s">
        <v>190</v>
      </c>
      <c r="BA115" s="103" t="s">
        <v>364</v>
      </c>
      <c r="BB115" s="10">
        <v>280673</v>
      </c>
      <c r="BE115" s="248"/>
      <c r="BF115" s="241"/>
    </row>
    <row r="116" spans="51:58" ht="12.75">
      <c r="AY116" s="103" t="s">
        <v>169</v>
      </c>
      <c r="AZ116" s="103" t="s">
        <v>170</v>
      </c>
      <c r="BA116" s="103" t="s">
        <v>364</v>
      </c>
      <c r="BB116" s="10">
        <v>565874</v>
      </c>
      <c r="BE116" s="70"/>
      <c r="BF116" s="239"/>
    </row>
    <row r="117" spans="51:58" ht="12.75">
      <c r="AY117" s="103" t="s">
        <v>152</v>
      </c>
      <c r="AZ117" s="103" t="s">
        <v>449</v>
      </c>
      <c r="BA117" s="103" t="s">
        <v>544</v>
      </c>
      <c r="BB117" s="10">
        <v>295379</v>
      </c>
      <c r="BE117" s="237"/>
      <c r="BF117" s="238"/>
    </row>
    <row r="118" spans="51:58" ht="12.75">
      <c r="AY118" s="103" t="s">
        <v>56</v>
      </c>
      <c r="AZ118" s="103" t="s">
        <v>57</v>
      </c>
      <c r="BA118" s="103" t="s">
        <v>364</v>
      </c>
      <c r="BB118" s="10">
        <v>217094</v>
      </c>
      <c r="BE118" s="70"/>
      <c r="BF118" s="239"/>
    </row>
    <row r="119" spans="51:58" ht="12.75">
      <c r="AY119" s="103" t="s">
        <v>268</v>
      </c>
      <c r="AZ119" s="103" t="s">
        <v>481</v>
      </c>
      <c r="BA119" s="103" t="s">
        <v>364</v>
      </c>
      <c r="BB119" s="10">
        <v>538131</v>
      </c>
      <c r="BE119" s="70"/>
      <c r="BF119" s="239"/>
    </row>
    <row r="120" spans="51:58" ht="12.75">
      <c r="AY120" s="103" t="s">
        <v>150</v>
      </c>
      <c r="AZ120" s="103" t="s">
        <v>151</v>
      </c>
      <c r="BA120" s="103" t="s">
        <v>544</v>
      </c>
      <c r="BB120" s="10">
        <v>389725</v>
      </c>
      <c r="BE120" s="70"/>
      <c r="BF120" s="239"/>
    </row>
    <row r="121" spans="51:58" ht="12.75">
      <c r="AY121" s="103" t="s">
        <v>212</v>
      </c>
      <c r="AZ121" s="103" t="s">
        <v>213</v>
      </c>
      <c r="BA121" s="103" t="s">
        <v>544</v>
      </c>
      <c r="BB121" s="10">
        <v>356812</v>
      </c>
      <c r="BE121" s="237"/>
      <c r="BF121" s="238"/>
    </row>
    <row r="122" spans="51:58" ht="12.75">
      <c r="AY122" s="103" t="s">
        <v>60</v>
      </c>
      <c r="AZ122" s="103" t="s">
        <v>61</v>
      </c>
      <c r="BA122" s="103" t="s">
        <v>364</v>
      </c>
      <c r="BB122" s="10">
        <v>256321</v>
      </c>
      <c r="BE122" s="70"/>
      <c r="BF122" s="249"/>
    </row>
    <row r="123" spans="51:58" ht="12.75">
      <c r="AY123" s="103" t="s">
        <v>234</v>
      </c>
      <c r="AZ123" s="103" t="s">
        <v>473</v>
      </c>
      <c r="BA123" s="103" t="s">
        <v>544</v>
      </c>
      <c r="BB123" s="10">
        <v>615835</v>
      </c>
      <c r="BF123" s="252"/>
    </row>
    <row r="124" spans="51:58" ht="12.75">
      <c r="AY124" s="103" t="s">
        <v>130</v>
      </c>
      <c r="AZ124" s="103" t="s">
        <v>443</v>
      </c>
      <c r="BA124" s="103" t="s">
        <v>364</v>
      </c>
      <c r="BB124" s="10">
        <v>150179</v>
      </c>
      <c r="BF124" s="252"/>
    </row>
    <row r="125" spans="51:58" ht="12.75">
      <c r="AY125" s="103" t="s">
        <v>253</v>
      </c>
      <c r="AZ125" s="103" t="s">
        <v>254</v>
      </c>
      <c r="BA125" s="103" t="s">
        <v>364</v>
      </c>
      <c r="BB125" s="10">
        <v>420503</v>
      </c>
      <c r="BE125" s="70"/>
      <c r="BF125" s="249"/>
    </row>
    <row r="126" spans="51:58" ht="12.75">
      <c r="AY126" s="103" t="s">
        <v>134</v>
      </c>
      <c r="AZ126" s="103" t="s">
        <v>445</v>
      </c>
      <c r="BA126" s="103" t="s">
        <v>364</v>
      </c>
      <c r="BB126" s="10">
        <v>263936</v>
      </c>
      <c r="BE126" s="70"/>
      <c r="BF126" s="239"/>
    </row>
    <row r="127" spans="51:58" ht="12.75">
      <c r="AY127" s="103" t="s">
        <v>142</v>
      </c>
      <c r="AZ127" s="103" t="s">
        <v>143</v>
      </c>
      <c r="BA127" s="103" t="s">
        <v>364</v>
      </c>
      <c r="BB127" s="10">
        <v>308593</v>
      </c>
      <c r="BF127" s="252"/>
    </row>
    <row r="128" spans="51:58" ht="12.75">
      <c r="AY128" s="103" t="s">
        <v>94</v>
      </c>
      <c r="AZ128" s="103" t="s">
        <v>429</v>
      </c>
      <c r="BA128" s="103" t="s">
        <v>544</v>
      </c>
      <c r="BB128" s="10">
        <v>298190</v>
      </c>
      <c r="BE128" s="250"/>
      <c r="BF128" s="249"/>
    </row>
    <row r="129" spans="51:58" ht="12.75">
      <c r="AY129" s="103" t="s">
        <v>85</v>
      </c>
      <c r="AZ129" s="103" t="s">
        <v>426</v>
      </c>
      <c r="BA129" s="103" t="s">
        <v>364</v>
      </c>
      <c r="BB129" s="10">
        <v>191885</v>
      </c>
      <c r="BE129" s="70"/>
      <c r="BF129" s="249"/>
    </row>
    <row r="130" spans="51:58" ht="12.75">
      <c r="AY130" s="103" t="s">
        <v>233</v>
      </c>
      <c r="AZ130" s="103" t="s">
        <v>472</v>
      </c>
      <c r="BA130" s="103" t="s">
        <v>364</v>
      </c>
      <c r="BB130" s="10">
        <v>268223</v>
      </c>
      <c r="BE130" s="70"/>
      <c r="BF130" s="249"/>
    </row>
    <row r="131" spans="51:58" ht="12.75">
      <c r="AY131" s="103" t="s">
        <v>245</v>
      </c>
      <c r="AZ131" s="103" t="s">
        <v>246</v>
      </c>
      <c r="BA131" s="103" t="s">
        <v>544</v>
      </c>
      <c r="BB131" s="10">
        <v>616983</v>
      </c>
      <c r="BE131" s="247"/>
      <c r="BF131" s="249"/>
    </row>
    <row r="132" spans="51:58" ht="12.75">
      <c r="AY132" s="103" t="s">
        <v>131</v>
      </c>
      <c r="AZ132" s="103" t="s">
        <v>444</v>
      </c>
      <c r="BA132" s="103" t="s">
        <v>364</v>
      </c>
      <c r="BB132" s="10">
        <v>283991</v>
      </c>
      <c r="BE132" s="247"/>
      <c r="BF132" s="249"/>
    </row>
    <row r="133" spans="51:58" ht="12.75">
      <c r="AY133" s="103" t="s">
        <v>216</v>
      </c>
      <c r="AZ133" s="103" t="s">
        <v>217</v>
      </c>
      <c r="BA133" s="103" t="s">
        <v>364</v>
      </c>
      <c r="BB133" s="10">
        <v>1156805</v>
      </c>
      <c r="BE133" s="247"/>
      <c r="BF133" s="251"/>
    </row>
    <row r="134" spans="51:58" ht="12.75">
      <c r="AY134" s="103" t="s">
        <v>156</v>
      </c>
      <c r="AZ134" s="103" t="s">
        <v>451</v>
      </c>
      <c r="BA134" s="103" t="s">
        <v>364</v>
      </c>
      <c r="BB134" s="10">
        <v>390971</v>
      </c>
      <c r="BE134" s="243"/>
      <c r="BF134" s="238"/>
    </row>
    <row r="135" spans="51:58" ht="12.75">
      <c r="AY135" s="103" t="s">
        <v>121</v>
      </c>
      <c r="AZ135" s="103" t="s">
        <v>122</v>
      </c>
      <c r="BA135" s="103" t="s">
        <v>543</v>
      </c>
      <c r="BB135" s="10">
        <v>218182</v>
      </c>
      <c r="BE135" s="250"/>
      <c r="BF135" s="249"/>
    </row>
    <row r="136" spans="51:58" ht="12.75">
      <c r="AY136" s="103" t="s">
        <v>148</v>
      </c>
      <c r="AZ136" s="103" t="s">
        <v>447</v>
      </c>
      <c r="BA136" s="103" t="s">
        <v>544</v>
      </c>
      <c r="BB136" s="10">
        <v>236598</v>
      </c>
      <c r="BE136" s="237"/>
      <c r="BF136" s="238"/>
    </row>
    <row r="137" spans="51:58" ht="12.75">
      <c r="AY137" s="103" t="s">
        <v>160</v>
      </c>
      <c r="AZ137" s="103" t="s">
        <v>453</v>
      </c>
      <c r="BA137" s="103" t="s">
        <v>544</v>
      </c>
      <c r="BB137" s="10">
        <v>165993</v>
      </c>
      <c r="BF137" s="252"/>
    </row>
    <row r="138" spans="51:58" ht="12.75">
      <c r="AY138" s="103" t="s">
        <v>54</v>
      </c>
      <c r="AZ138" s="103" t="s">
        <v>55</v>
      </c>
      <c r="BA138" s="103" t="s">
        <v>364</v>
      </c>
      <c r="BB138" s="10">
        <v>145889</v>
      </c>
      <c r="BE138" s="70"/>
      <c r="BF138" s="239"/>
    </row>
    <row r="139" spans="51:58" ht="12.75">
      <c r="AY139" s="103" t="s">
        <v>75</v>
      </c>
      <c r="AZ139" s="103" t="s">
        <v>420</v>
      </c>
      <c r="BA139" s="103" t="s">
        <v>364</v>
      </c>
      <c r="BB139" s="10">
        <v>267393</v>
      </c>
      <c r="BE139" s="237"/>
      <c r="BF139" s="238"/>
    </row>
    <row r="140" spans="51:58" ht="12.75">
      <c r="AY140" s="103" t="s">
        <v>201</v>
      </c>
      <c r="AZ140" s="103" t="s">
        <v>202</v>
      </c>
      <c r="BA140" s="103" t="s">
        <v>544</v>
      </c>
      <c r="BB140" s="10">
        <v>232551</v>
      </c>
      <c r="BE140" s="70"/>
      <c r="BF140" s="239"/>
    </row>
    <row r="141" spans="51:58" ht="12.75">
      <c r="AY141" s="103" t="s">
        <v>167</v>
      </c>
      <c r="AZ141" s="103" t="s">
        <v>168</v>
      </c>
      <c r="BA141" s="103" t="s">
        <v>544</v>
      </c>
      <c r="BB141" s="10">
        <v>350958</v>
      </c>
      <c r="BE141" s="70"/>
      <c r="BF141" s="239"/>
    </row>
    <row r="142" spans="51:58" ht="12.75">
      <c r="AY142" s="103" t="s">
        <v>153</v>
      </c>
      <c r="AZ142" s="103" t="s">
        <v>154</v>
      </c>
      <c r="BA142" s="103" t="s">
        <v>364</v>
      </c>
      <c r="BB142" s="10">
        <v>265654</v>
      </c>
      <c r="BE142" s="70"/>
      <c r="BF142" s="241"/>
    </row>
    <row r="143" spans="51:58" ht="12.75">
      <c r="AY143" s="103" t="s">
        <v>181</v>
      </c>
      <c r="AZ143" s="103" t="s">
        <v>182</v>
      </c>
      <c r="BA143" s="103" t="s">
        <v>364</v>
      </c>
      <c r="BB143" s="10">
        <v>284466</v>
      </c>
      <c r="BE143" s="70"/>
      <c r="BF143" s="249"/>
    </row>
    <row r="144" spans="51:58" ht="12.75">
      <c r="AY144" s="103" t="s">
        <v>146</v>
      </c>
      <c r="AZ144" s="103" t="s">
        <v>147</v>
      </c>
      <c r="BA144" s="103" t="s">
        <v>364</v>
      </c>
      <c r="BB144" s="10">
        <v>319933</v>
      </c>
      <c r="BE144" s="70"/>
      <c r="BF144" s="241"/>
    </row>
    <row r="145" spans="51:58" ht="12.75">
      <c r="AY145" s="103" t="s">
        <v>111</v>
      </c>
      <c r="AZ145" s="103" t="s">
        <v>112</v>
      </c>
      <c r="BA145" s="103" t="s">
        <v>364</v>
      </c>
      <c r="BB145" s="10">
        <v>192336</v>
      </c>
      <c r="BE145" s="248"/>
      <c r="BF145" s="249"/>
    </row>
    <row r="146" spans="51:58" ht="12.75">
      <c r="AY146" s="103" t="s">
        <v>237</v>
      </c>
      <c r="AZ146" s="103" t="s">
        <v>238</v>
      </c>
      <c r="BA146" s="103" t="s">
        <v>364</v>
      </c>
      <c r="BB146" s="10">
        <v>548313</v>
      </c>
      <c r="BF146" s="252"/>
    </row>
    <row r="147" spans="51:58" ht="12.75">
      <c r="AY147" s="103" t="s">
        <v>247</v>
      </c>
      <c r="AZ147" s="103" t="s">
        <v>248</v>
      </c>
      <c r="BA147" s="103" t="s">
        <v>364</v>
      </c>
      <c r="BB147" s="10">
        <v>287229</v>
      </c>
      <c r="BF147" s="252"/>
    </row>
    <row r="148" spans="51:58" ht="12.75">
      <c r="AY148" s="103" t="s">
        <v>222</v>
      </c>
      <c r="AZ148" s="103" t="s">
        <v>467</v>
      </c>
      <c r="BA148" s="103" t="s">
        <v>544</v>
      </c>
      <c r="BB148" s="10">
        <v>707573</v>
      </c>
      <c r="BF148" s="252"/>
    </row>
    <row r="149" spans="51:58" ht="12.75">
      <c r="AY149" s="103" t="s">
        <v>218</v>
      </c>
      <c r="AZ149" s="103" t="s">
        <v>219</v>
      </c>
      <c r="BA149" s="103" t="s">
        <v>544</v>
      </c>
      <c r="BB149" s="10">
        <v>825533</v>
      </c>
      <c r="BE149" s="248"/>
      <c r="BF149" s="249"/>
    </row>
    <row r="150" spans="51:58" ht="12.75">
      <c r="AY150" s="103" t="s">
        <v>196</v>
      </c>
      <c r="AZ150" s="103" t="s">
        <v>197</v>
      </c>
      <c r="BA150" s="103" t="s">
        <v>364</v>
      </c>
      <c r="BB150" s="10">
        <v>259945</v>
      </c>
      <c r="BF150" s="252"/>
    </row>
    <row r="151" spans="51:58" ht="12.75">
      <c r="AY151" s="103" t="s">
        <v>138</v>
      </c>
      <c r="AZ151" s="103" t="s">
        <v>139</v>
      </c>
      <c r="BA151" s="103" t="s">
        <v>364</v>
      </c>
      <c r="BB151" s="10">
        <v>246573</v>
      </c>
      <c r="BF151" s="252"/>
    </row>
    <row r="152" spans="51:58" ht="12.75">
      <c r="AY152" s="103" t="s">
        <v>266</v>
      </c>
      <c r="AZ152" s="103" t="s">
        <v>267</v>
      </c>
      <c r="BA152" s="103" t="s">
        <v>544</v>
      </c>
      <c r="BB152" s="10">
        <v>462395</v>
      </c>
      <c r="BE152" s="250"/>
      <c r="BF152" s="239"/>
    </row>
    <row r="153" spans="51:58" ht="12.75">
      <c r="AY153" s="103" t="s">
        <v>191</v>
      </c>
      <c r="AZ153" s="103" t="s">
        <v>192</v>
      </c>
      <c r="BA153" s="103" t="s">
        <v>364</v>
      </c>
      <c r="BB153" s="10">
        <v>332176</v>
      </c>
      <c r="BF153" s="252"/>
    </row>
    <row r="154" spans="51:58" ht="12.75">
      <c r="AY154" s="103" t="s">
        <v>161</v>
      </c>
      <c r="AZ154" s="103" t="s">
        <v>454</v>
      </c>
      <c r="BA154" s="103" t="s">
        <v>364</v>
      </c>
      <c r="BB154" s="10">
        <v>246213</v>
      </c>
      <c r="BE154" s="237"/>
      <c r="BF154" s="238"/>
    </row>
    <row r="155" spans="51:58" ht="12.75">
      <c r="AY155" s="103" t="s">
        <v>235</v>
      </c>
      <c r="AZ155" s="103" t="s">
        <v>236</v>
      </c>
      <c r="BA155" s="103" t="s">
        <v>544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561</v>
      </c>
      <c r="B3" s="56" t="s">
        <v>478</v>
      </c>
      <c r="C3" s="56" t="s">
        <v>24</v>
      </c>
    </row>
    <row r="4" spans="1:2" ht="12.75">
      <c r="A4" s="76">
        <v>1</v>
      </c>
      <c r="B4" s="78" t="s">
        <v>259</v>
      </c>
    </row>
    <row r="5" ht="12.75">
      <c r="A5" s="280" t="s">
        <v>561</v>
      </c>
    </row>
    <row r="6" ht="12.75">
      <c r="A6" s="280" t="s">
        <v>593</v>
      </c>
    </row>
    <row r="7" ht="12.75">
      <c r="A7" s="280" t="s">
        <v>614</v>
      </c>
    </row>
    <row r="8" ht="12.75">
      <c r="A8" s="280" t="s">
        <v>615</v>
      </c>
    </row>
    <row r="9" ht="12.75">
      <c r="A9" s="280" t="s">
        <v>556</v>
      </c>
    </row>
    <row r="10" ht="12.75">
      <c r="A10" s="280" t="s">
        <v>565</v>
      </c>
    </row>
    <row r="11" ht="12.75">
      <c r="A11" s="280" t="s">
        <v>576</v>
      </c>
    </row>
    <row r="12" ht="12.75">
      <c r="A12" s="280" t="s">
        <v>567</v>
      </c>
    </row>
    <row r="13" ht="12.75">
      <c r="A13" s="280" t="s">
        <v>595</v>
      </c>
    </row>
    <row r="14" ht="12.75">
      <c r="A14" s="280" t="s">
        <v>599</v>
      </c>
    </row>
    <row r="15" ht="12.75">
      <c r="A15" s="280" t="s">
        <v>569</v>
      </c>
    </row>
    <row r="16" ht="12.75">
      <c r="A16" s="280" t="s">
        <v>609</v>
      </c>
    </row>
    <row r="17" ht="12.75">
      <c r="A17" s="280" t="s">
        <v>591</v>
      </c>
    </row>
    <row r="18" ht="12.75">
      <c r="A18" s="280" t="s">
        <v>555</v>
      </c>
    </row>
    <row r="19" ht="12.75">
      <c r="A19" s="280" t="s">
        <v>637</v>
      </c>
    </row>
    <row r="20" ht="12.75">
      <c r="A20" s="280" t="s">
        <v>617</v>
      </c>
    </row>
    <row r="21" ht="12.75">
      <c r="A21" s="280" t="s">
        <v>577</v>
      </c>
    </row>
    <row r="22" ht="12.75">
      <c r="A22" s="280" t="s">
        <v>578</v>
      </c>
    </row>
    <row r="23" ht="12.75">
      <c r="A23" s="280" t="s">
        <v>621</v>
      </c>
    </row>
    <row r="24" ht="12.75">
      <c r="A24" s="280" t="s">
        <v>598</v>
      </c>
    </row>
    <row r="25" ht="12.75">
      <c r="A25" s="280" t="s">
        <v>597</v>
      </c>
    </row>
    <row r="26" ht="12.75">
      <c r="A26" s="280" t="s">
        <v>624</v>
      </c>
    </row>
    <row r="27" ht="12.75">
      <c r="A27" s="280" t="s">
        <v>549</v>
      </c>
    </row>
    <row r="28" ht="12.75">
      <c r="A28" s="280" t="s">
        <v>616</v>
      </c>
    </row>
    <row r="29" ht="12.75">
      <c r="A29" s="280" t="s">
        <v>551</v>
      </c>
    </row>
    <row r="30" ht="12.75">
      <c r="A30" s="280" t="s">
        <v>638</v>
      </c>
    </row>
    <row r="31" ht="12.75">
      <c r="A31" s="280" t="s">
        <v>603</v>
      </c>
    </row>
    <row r="32" ht="12.75">
      <c r="A32" s="280" t="s">
        <v>566</v>
      </c>
    </row>
    <row r="33" ht="12.75">
      <c r="A33" s="280" t="s">
        <v>553</v>
      </c>
    </row>
    <row r="34" ht="12.75">
      <c r="A34" s="280" t="s">
        <v>611</v>
      </c>
    </row>
    <row r="35" ht="12.75">
      <c r="A35" s="280" t="s">
        <v>589</v>
      </c>
    </row>
    <row r="36" ht="12.75">
      <c r="A36" s="280" t="s">
        <v>608</v>
      </c>
    </row>
    <row r="37" ht="12.75">
      <c r="A37" s="280" t="s">
        <v>600</v>
      </c>
    </row>
    <row r="38" ht="12.75">
      <c r="A38" s="280" t="s">
        <v>592</v>
      </c>
    </row>
    <row r="39" ht="12.75">
      <c r="A39" s="280" t="s">
        <v>584</v>
      </c>
    </row>
    <row r="40" ht="12.75">
      <c r="A40" s="280" t="s">
        <v>550</v>
      </c>
    </row>
    <row r="41" ht="12.75">
      <c r="A41" s="280" t="s">
        <v>612</v>
      </c>
    </row>
    <row r="42" ht="12.75">
      <c r="A42" s="280" t="s">
        <v>619</v>
      </c>
    </row>
    <row r="43" ht="12.75">
      <c r="A43" s="280" t="s">
        <v>570</v>
      </c>
    </row>
    <row r="44" ht="12.75">
      <c r="A44" s="280" t="s">
        <v>625</v>
      </c>
    </row>
    <row r="45" ht="12.75">
      <c r="A45" s="280" t="s">
        <v>552</v>
      </c>
    </row>
    <row r="46" ht="12.75">
      <c r="A46" s="280" t="s">
        <v>618</v>
      </c>
    </row>
    <row r="47" ht="12.75">
      <c r="A47" s="280" t="s">
        <v>613</v>
      </c>
    </row>
    <row r="48" ht="12.75">
      <c r="A48" s="280" t="s">
        <v>571</v>
      </c>
    </row>
    <row r="49" ht="12.75">
      <c r="A49" s="280" t="s">
        <v>588</v>
      </c>
    </row>
    <row r="50" ht="12.75">
      <c r="A50" s="280" t="s">
        <v>585</v>
      </c>
    </row>
    <row r="51" ht="12.75">
      <c r="A51" s="280" t="s">
        <v>610</v>
      </c>
    </row>
    <row r="52" ht="12.75">
      <c r="A52" s="280" t="s">
        <v>580</v>
      </c>
    </row>
    <row r="53" ht="12.75">
      <c r="A53" s="280" t="s">
        <v>582</v>
      </c>
    </row>
    <row r="54" ht="12.75">
      <c r="A54" s="280" t="s">
        <v>559</v>
      </c>
    </row>
    <row r="55" ht="12.75">
      <c r="A55" s="280" t="s">
        <v>560</v>
      </c>
    </row>
    <row r="56" ht="12.75">
      <c r="A56" s="280" t="s">
        <v>563</v>
      </c>
    </row>
    <row r="57" ht="12.75">
      <c r="A57" s="280" t="s">
        <v>623</v>
      </c>
    </row>
    <row r="58" ht="12.75">
      <c r="A58" s="280" t="s">
        <v>573</v>
      </c>
    </row>
    <row r="59" ht="12.75">
      <c r="A59" s="280" t="s">
        <v>606</v>
      </c>
    </row>
    <row r="60" ht="12.75">
      <c r="A60" s="280" t="s">
        <v>626</v>
      </c>
    </row>
    <row r="61" ht="12.75">
      <c r="A61" s="280" t="s">
        <v>605</v>
      </c>
    </row>
    <row r="62" ht="12.75">
      <c r="A62" s="280" t="s">
        <v>604</v>
      </c>
    </row>
    <row r="63" ht="12.75">
      <c r="A63" s="280" t="s">
        <v>564</v>
      </c>
    </row>
    <row r="64" ht="12.75">
      <c r="A64" s="280" t="s">
        <v>620</v>
      </c>
    </row>
    <row r="65" ht="12.75">
      <c r="A65" s="280" t="s">
        <v>558</v>
      </c>
    </row>
    <row r="66" ht="12.75">
      <c r="A66" s="280" t="s">
        <v>601</v>
      </c>
    </row>
    <row r="67" ht="12.75">
      <c r="A67" s="280" t="s">
        <v>557</v>
      </c>
    </row>
    <row r="68" ht="12.75">
      <c r="A68" s="280" t="s">
        <v>554</v>
      </c>
    </row>
    <row r="69" ht="12.75">
      <c r="A69" s="280" t="s">
        <v>596</v>
      </c>
    </row>
    <row r="70" ht="12.75">
      <c r="A70" s="280" t="s">
        <v>579</v>
      </c>
    </row>
    <row r="71" ht="12.75">
      <c r="A71" s="280" t="s">
        <v>548</v>
      </c>
    </row>
    <row r="72" ht="12.75">
      <c r="A72" s="280" t="s">
        <v>575</v>
      </c>
    </row>
    <row r="73" ht="12.75">
      <c r="A73" s="280" t="s">
        <v>607</v>
      </c>
    </row>
    <row r="74" ht="12.75">
      <c r="A74" s="280" t="s">
        <v>581</v>
      </c>
    </row>
    <row r="75" ht="12.75">
      <c r="A75" s="280" t="s">
        <v>572</v>
      </c>
    </row>
    <row r="76" ht="12.75">
      <c r="A76" s="280" t="s">
        <v>574</v>
      </c>
    </row>
    <row r="77" ht="12.75">
      <c r="A77" s="280" t="s">
        <v>594</v>
      </c>
    </row>
    <row r="78" ht="12.75">
      <c r="A78" s="280" t="s">
        <v>583</v>
      </c>
    </row>
    <row r="79" ht="12.75">
      <c r="A79" s="280" t="s">
        <v>562</v>
      </c>
    </row>
    <row r="80" ht="12.75">
      <c r="A80" s="280" t="s">
        <v>568</v>
      </c>
    </row>
    <row r="81" ht="12.75">
      <c r="A81" s="280" t="s">
        <v>622</v>
      </c>
    </row>
    <row r="82" ht="12.75">
      <c r="A82" s="280" t="s">
        <v>587</v>
      </c>
    </row>
    <row r="83" ht="12.75">
      <c r="A83" s="280" t="s">
        <v>602</v>
      </c>
    </row>
    <row r="84" ht="12.75">
      <c r="A84" s="280" t="s">
        <v>586</v>
      </c>
    </row>
    <row r="85" ht="12.75">
      <c r="A85" s="280" t="s">
        <v>590</v>
      </c>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