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<sst xmlns="http://schemas.openxmlformats.org/spreadsheetml/2006/main" count="1337" uniqueCount="566">
  <si>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</si>
  <si>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</si>
  <si>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</si>
  <si>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</si>
  <si>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</si>
  <si>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</si>
  <si>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</si>
  <si>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</si>
  <si>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</si>
  <si>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</si>
  <si>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</si>
  <si>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</si>
  <si>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</si>
  <si>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</si>
  <si>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</si>
  <si>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</si>
  <si>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</si>
  <si>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</si>
  <si>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</si>
  <si>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</si>
  <si>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</si>
  <si>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</si>
  <si>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</si>
  <si>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</si>
  <si>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</si>
  <si>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</si>
  <si>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</si>
  <si>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</si>
  <si>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</si>
  <si>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</si>
  <si>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</si>
  <si>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</si>
  <si>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</si>
  <si>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</si>
  <si>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</si>
  <si>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</si>
  <si>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</si>
  <si>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</si>
  <si>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</si>
  <si>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</si>
  <si>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</si>
  <si>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</si>
  <si>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</si>
  <si>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</si>
  <si>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</si>
  <si>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</si>
  <si>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</si>
  <si>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</si>
  <si>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</si>
  <si>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</si>
  <si>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</si>
  <si>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</si>
  <si>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</si>
  <si>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</si>
  <si>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</si>
  <si>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</si>
  <si>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</si>
  <si>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</si>
  <si>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</si>
  <si>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</si>
  <si>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</si>
  <si>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</si>
  <si>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</si>
  <si>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</si>
  <si>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</si>
  <si>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</si>
  <si>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</si>
  <si>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</si>
  <si>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</si>
  <si>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</si>
  <si>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</si>
  <si>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</si>
  <si>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</si>
  <si>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</si>
  <si>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</si>
  <si>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</si>
  <si>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</si>
  <si>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</si>
  <si>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</si>
  <si>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</si>
  <si>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</si>
  <si>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</si>
  <si>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</si>
  <si>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</si>
  <si>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</si>
  <si>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</si>
  <si>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</si>
  <si>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</si>
  <si>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</si>
  <si>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</si>
  <si>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</si>
  <si>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</si>
  <si>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</si>
  <si>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</si>
  <si>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</si>
  <si>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</si>
  <si>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</si>
  <si>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</si>
  <si>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</si>
  <si>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</si>
  <si>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</si>
  <si>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</si>
  <si>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</si>
  <si>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</si>
  <si>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</si>
  <si>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</si>
  <si>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</si>
  <si>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</si>
  <si>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</si>
  <si>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</si>
  <si>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</si>
  <si>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</si>
  <si>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</si>
  <si>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</si>
  <si>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</si>
  <si>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</si>
  <si>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</si>
  <si>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</si>
  <si>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</si>
  <si>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</si>
  <si>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</si>
  <si>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</si>
  <si>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</si>
  <si>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</si>
  <si>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</si>
  <si>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</si>
  <si>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</si>
  <si>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</si>
  <si>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</si>
  <si>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</si>
  <si>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</si>
  <si>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</si>
  <si>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</si>
  <si>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</si>
  <si>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</si>
  <si>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</si>
  <si>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</si>
  <si>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</si>
  <si>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</si>
  <si>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</si>
  <si>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</si>
  <si>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</si>
  <si>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</si>
  <si>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</si>
  <si>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</si>
  <si>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</si>
  <si>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</si>
  <si>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</si>
  <si>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</si>
  <si>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</si>
  <si>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</si>
  <si>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</si>
  <si>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</si>
  <si>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</si>
  <si>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</si>
  <si>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</si>
  <si>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</si>
  <si>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</si>
  <si>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</si>
  <si>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</si>
  <si>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</si>
  <si>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</si>
  <si>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</si>
  <si>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</si>
  <si>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</si>
  <si>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</si>
  <si>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</si>
  <si>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</si>
  <si>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</si>
  <si>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</si>
  <si>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</si>
  <si>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</si>
  <si>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</si>
  <si>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</si>
  <si>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</si>
  <si>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</si>
  <si>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</si>
  <si>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</si>
  <si>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</si>
  <si>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</si>
  <si>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</si>
  <si>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</si>
  <si>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</si>
  <si>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</si>
  <si>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</si>
  <si>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</si>
  <si>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</si>
  <si>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</si>
  <si>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</si>
  <si>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</si>
  <si>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</si>
  <si>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</si>
  <si>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</si>
  <si>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</si>
  <si>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</si>
  <si>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</si>
  <si>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</si>
  <si>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</si>
  <si>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</si>
  <si>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</si>
  <si>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</si>
  <si>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</si>
  <si>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</si>
  <si>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</si>
  <si>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</si>
  <si>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</si>
  <si>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</si>
  <si>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</si>
  <si>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</si>
  <si>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</si>
  <si>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</si>
  <si>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</si>
  <si>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</si>
  <si>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</si>
  <si>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</si>
  <si>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</si>
  <si>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</si>
  <si>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</si>
  <si>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</si>
  <si>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</si>
  <si>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</si>
  <si>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</si>
  <si>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</si>
  <si>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</si>
  <si>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</si>
  <si>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</si>
  <si>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</si>
  <si>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</si>
  <si>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</si>
  <si>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</si>
  <si>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</si>
  <si>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</si>
  <si>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</si>
  <si>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</si>
  <si>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</si>
  <si>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</si>
  <si>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</si>
  <si>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</si>
  <si>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</si>
  <si>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</si>
  <si>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</si>
  <si>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</si>
  <si>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</si>
  <si>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</si>
  <si>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</si>
  <si>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</si>
  <si>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</si>
  <si>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</si>
  <si>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</si>
  <si>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</si>
  <si>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</si>
  <si>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</si>
  <si>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</si>
  <si>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</si>
  <si>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</si>
  <si>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</si>
  <si>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</si>
  <si>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</si>
  <si>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</si>
  <si>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</si>
  <si>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</si>
  <si>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</si>
  <si>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</si>
  <si>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</si>
  <si>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</si>
  <si>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</si>
  <si>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</si>
  <si>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</si>
  <si>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</si>
  <si>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</si>
  <si>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</si>
  <si>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</si>
  <si>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</si>
  <si>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</si>
  <si>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</si>
  <si>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</si>
  <si>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</si>
  <si>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</si>
  <si>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</si>
  <si>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</si>
  <si>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</si>
  <si>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</si>
  <si>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J81003</t>
  </si>
  <si>
    <t>J81004</t>
  </si>
  <si>
    <t>J81006</t>
  </si>
  <si>
    <t>J81012</t>
  </si>
  <si>
    <t>J81013</t>
  </si>
  <si>
    <t>J81014</t>
  </si>
  <si>
    <t>J81018</t>
  </si>
  <si>
    <t>J81021</t>
  </si>
  <si>
    <t>J81024</t>
  </si>
  <si>
    <t>J81033</t>
  </si>
  <si>
    <t>J81036</t>
  </si>
  <si>
    <t>J81038</t>
  </si>
  <si>
    <t>J81039</t>
  </si>
  <si>
    <t>J81041</t>
  </si>
  <si>
    <t>J81042</t>
  </si>
  <si>
    <t>J81044</t>
  </si>
  <si>
    <t>J81045</t>
  </si>
  <si>
    <t>J81046</t>
  </si>
  <si>
    <t>J81047</t>
  </si>
  <si>
    <t>J81048</t>
  </si>
  <si>
    <t>J81049</t>
  </si>
  <si>
    <t>J81052</t>
  </si>
  <si>
    <t>J81054</t>
  </si>
  <si>
    <t>J81059</t>
  </si>
  <si>
    <t>J81062</t>
  </si>
  <si>
    <t>J81063</t>
  </si>
  <si>
    <t>J81064</t>
  </si>
  <si>
    <t>J81065</t>
  </si>
  <si>
    <t>J81067</t>
  </si>
  <si>
    <t>J81069</t>
  </si>
  <si>
    <t>J81070</t>
  </si>
  <si>
    <t>J81071</t>
  </si>
  <si>
    <t>J81072</t>
  </si>
  <si>
    <t>J81085</t>
  </si>
  <si>
    <t>J81086</t>
  </si>
  <si>
    <t>J81087</t>
  </si>
  <si>
    <t>J81624</t>
  </si>
  <si>
    <t>J81625</t>
  </si>
  <si>
    <t>J81632</t>
  </si>
  <si>
    <t>J81633</t>
  </si>
  <si>
    <t>J81634</t>
  </si>
  <si>
    <t>J81645</t>
  </si>
  <si>
    <t>J81648</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</si>
  <si>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</si>
  <si>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</si>
  <si>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</si>
  <si>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</si>
  <si>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</si>
  <si>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</si>
  <si>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</si>
  <si>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</si>
  <si>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</si>
  <si>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</si>
  <si>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</si>
  <si>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</si>
  <si>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</si>
  <si>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</si>
  <si>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</si>
  <si>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</si>
  <si>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</si>
  <si>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</si>
  <si>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</si>
  <si>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</si>
  <si>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</si>
  <si>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</si>
  <si>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</si>
  <si>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</si>
  <si>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</si>
  <si>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</si>
  <si>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</si>
  <si>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</si>
  <si>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</si>
  <si>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</si>
  <si>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</si>
  <si>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</si>
  <si>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</si>
  <si>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</si>
  <si>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</si>
  <si>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</si>
  <si>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</si>
  <si>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</si>
  <si>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</si>
  <si>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</si>
  <si>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</si>
  <si>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</si>
  <si>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</si>
  <si>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</si>
  <si>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</si>
  <si>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</si>
  <si>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</si>
  <si>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</si>
  <si>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</si>
  <si>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</si>
  <si>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</si>
  <si>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</si>
  <si>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</si>
  <si>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</si>
  <si>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</si>
  <si>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</si>
  <si>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</si>
  <si>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</si>
  <si>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</si>
  <si>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</si>
  <si>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</si>
  <si>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</si>
  <si>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</si>
  <si>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</si>
  <si>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</si>
  <si>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</si>
  <si>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</si>
  <si>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</si>
  <si>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</si>
  <si>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</si>
  <si>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</si>
  <si>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</si>
  <si>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</si>
  <si>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</si>
  <si>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</si>
  <si>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</si>
  <si>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</si>
  <si>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</si>
  <si>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</si>
  <si>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</si>
  <si>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</si>
  <si>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</si>
  <si>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</si>
  <si>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</si>
  <si>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</si>
  <si>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</si>
  <si>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</si>
  <si>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</si>
  <si>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</si>
  <si>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</si>
  <si>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</si>
  <si>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</si>
  <si>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</si>
  <si>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</si>
  <si>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</si>
  <si>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</si>
  <si>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</si>
  <si>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</si>
  <si>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</si>
  <si>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</si>
  <si>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</si>
  <si>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</si>
  <si>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</si>
  <si>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</si>
  <si>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</si>
  <si>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</si>
  <si>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</si>
  <si>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</si>
  <si>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</si>
  <si>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</si>
  <si>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</si>
  <si>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</si>
  <si>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</si>
  <si>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</si>
  <si>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</si>
  <si>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</si>
  <si>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</si>
  <si>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</si>
  <si>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</si>
  <si>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</si>
  <si>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</si>
  <si>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</si>
  <si>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</si>
  <si>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</si>
  <si>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</si>
  <si>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</si>
  <si>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</si>
  <si>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</si>
  <si>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</si>
  <si>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</si>
  <si>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</si>
  <si>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</si>
  <si>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</si>
  <si>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</si>
  <si>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</si>
  <si>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</si>
  <si>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</si>
  <si>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</si>
  <si>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</si>
  <si>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</si>
  <si>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</si>
  <si>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</si>
  <si>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</si>
  <si>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</si>
  <si>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</si>
  <si>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</si>
  <si>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</si>
  <si>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</si>
  <si>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</si>
  <si>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</si>
  <si>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</si>
  <si>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</si>
  <si>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</si>
  <si>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</si>
  <si>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</si>
  <si>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</si>
  <si>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</si>
  <si>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</si>
  <si>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</si>
  <si>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</si>
  <si>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</si>
  <si>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</si>
  <si>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</si>
  <si>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</si>
  <si>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</si>
  <si>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</si>
  <si>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</si>
  <si>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</si>
  <si>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</si>
  <si>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</si>
  <si>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</si>
  <si>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</si>
  <si>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</si>
  <si>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</si>
  <si>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</si>
  <si>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</si>
  <si>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</si>
  <si>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</si>
  <si>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</si>
  <si>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</si>
  <si>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</si>
  <si>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</si>
  <si>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</si>
  <si>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</si>
  <si>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</si>
  <si>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</si>
  <si>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(J81003) ALMA PARTNERSHIP</t>
  </si>
  <si>
    <t>(J81004) POOLE ROAD MEDICAL CENTRE</t>
  </si>
  <si>
    <t>(J81006) THE ADAM PRACTICE</t>
  </si>
  <si>
    <t>(J81012) PARKSTONE HEALTH CENTRE</t>
  </si>
  <si>
    <t>(J81013) CANFORD HEATH GROUP PRACTICE</t>
  </si>
  <si>
    <t>(J81014) WESTBOURNE MEDICAL CENTRE</t>
  </si>
  <si>
    <t>(J81018) BEAUFORT ROAD SURGERY</t>
  </si>
  <si>
    <t>(J81024) HOLDENHURST ROAD SURGERY</t>
  </si>
  <si>
    <t>(J81033) TALBOT MEDICAL CENTRE</t>
  </si>
  <si>
    <t>(J81036) THE ROSEMARY HEALTH CENTRE</t>
  </si>
  <si>
    <t>(J81038) NORTHBOURNE SURGERY</t>
  </si>
  <si>
    <t>(J81039) MOORDOWN MEDICAL CENTRE</t>
  </si>
  <si>
    <t>(J81041) THE HADLEIGH PRACTICE</t>
  </si>
  <si>
    <t>(J81042) VILLAGE SURGERY</t>
  </si>
  <si>
    <t>(J81044) HEATHERVIEW MEDICAL CENTRE</t>
  </si>
  <si>
    <t>(J81045) KINSON ROAD MEDICAL CENTRE</t>
  </si>
  <si>
    <t>(J81046) THE HARVEY PRACTICE</t>
  </si>
  <si>
    <t>(J81047) JAMES FISHER MEDICAL CENTRE</t>
  </si>
  <si>
    <t>(J81048) WESSEX ROAD SURGERY</t>
  </si>
  <si>
    <t>(J81052) CARLISLE HOUSE</t>
  </si>
  <si>
    <t>(J81054) LILLIPUT SURGERY</t>
  </si>
  <si>
    <t>(J81059) SOUTHBOURNE PRACTICE</t>
  </si>
  <si>
    <t>(J81062) ST. ALBANS MEDICAL CENTRE</t>
  </si>
  <si>
    <t>(J81063) DURDELLS AVENUE SURGERY</t>
  </si>
  <si>
    <t>(J81064) POOLE TOWN SURGERY</t>
  </si>
  <si>
    <t>(J81065) MADEIRA MEDICAL CENTRE</t>
  </si>
  <si>
    <t>(J81067) LITTLEDOWN SURGERY</t>
  </si>
  <si>
    <t>(J81069) LONGFLEET HOUSE SURGERY</t>
  </si>
  <si>
    <t>(J81071) LEYBOURNE SURGERY</t>
  </si>
  <si>
    <t>(J81085) STROUDEN PARK MEDICAL CENTRE</t>
  </si>
  <si>
    <t>(J81086) EVERGREEN OAK SURGERY</t>
  </si>
  <si>
    <t>(J81087) THE BIRCHWOOD PRACTICE</t>
  </si>
  <si>
    <t>(J81624) CRESCENT SURGERY</t>
  </si>
  <si>
    <t>(J81625) DENMARK ROAD MEDICAL CENTRE</t>
  </si>
  <si>
    <t>(J81632) HERBERT AVENUE</t>
  </si>
  <si>
    <t>(J81633) WOODLEA HOUSE SURGERY</t>
  </si>
  <si>
    <t>(J81634) PROVIDENCE SURGERY</t>
  </si>
  <si>
    <t>(J81645) BOSCOMBE MANOR MEDICAL CENTRE</t>
  </si>
  <si>
    <t>(J81648) DR NEWMAN</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</si>
  <si>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</si>
  <si>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</si>
  <si>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</si>
  <si>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</si>
  <si>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</si>
  <si>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</si>
  <si>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</si>
  <si>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</si>
  <si>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</si>
  <si>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</si>
  <si>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(J81021) DR POULTON + PARTNERS</t>
  </si>
  <si>
    <t>(J81049) THE MARINE + OAKRIDGE PARTNERSHIP</t>
  </si>
  <si>
    <t>(J81070) THE BANKS + BEARWOOD MEDICAL CENTRE</t>
  </si>
  <si>
    <t>(J81072) DR SAWYER + PTNS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</si>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</sst>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0.9942806818611147</c:v>
                </c:pt>
                <c:pt idx="3">
                  <c:v>1</c:v>
                </c:pt>
                <c:pt idx="4">
                  <c:v>1</c:v>
                </c:pt>
                <c:pt idx="5">
                  <c:v>0.9926419854913028</c:v>
                </c:pt>
                <c:pt idx="6">
                  <c:v>1</c:v>
                </c:pt>
                <c:pt idx="7">
                  <c:v>0.7634177203950204</c:v>
                </c:pt>
                <c:pt idx="8">
                  <c:v>0.6774243110116754</c:v>
                </c:pt>
                <c:pt idx="9">
                  <c:v>0.7174574325365113</c:v>
                </c:pt>
                <c:pt idx="10">
                  <c:v>0.7327070721716751</c:v>
                </c:pt>
                <c:pt idx="11">
                  <c:v>0.7776040075935484</c:v>
                </c:pt>
                <c:pt idx="12">
                  <c:v>1</c:v>
                </c:pt>
                <c:pt idx="13">
                  <c:v>0</c:v>
                </c:pt>
                <c:pt idx="14">
                  <c:v>1</c:v>
                </c:pt>
                <c:pt idx="15">
                  <c:v>0.865656365104625</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0.6523102042077804</c:v>
                </c:pt>
                <c:pt idx="3">
                  <c:v>0.7045454637817116</c:v>
                </c:pt>
                <c:pt idx="4">
                  <c:v>0.5906499674305014</c:v>
                </c:pt>
                <c:pt idx="5">
                  <c:v>0.6498277757825077</c:v>
                </c:pt>
                <c:pt idx="6">
                  <c:v>0.6029412151414196</c:v>
                </c:pt>
                <c:pt idx="7">
                  <c:v>0.5575865575354733</c:v>
                </c:pt>
                <c:pt idx="8">
                  <c:v>0.5833152695158057</c:v>
                </c:pt>
                <c:pt idx="9">
                  <c:v>0.5794674936377556</c:v>
                </c:pt>
                <c:pt idx="10">
                  <c:v>0.573029446236754</c:v>
                </c:pt>
                <c:pt idx="11">
                  <c:v>0.579044381050841</c:v>
                </c:pt>
                <c:pt idx="12">
                  <c:v>0.5814321346471217</c:v>
                </c:pt>
                <c:pt idx="13">
                  <c:v>0</c:v>
                </c:pt>
                <c:pt idx="14">
                  <c:v>0.557023436547589</c:v>
                </c:pt>
                <c:pt idx="15">
                  <c:v>0.5779660137251246</c:v>
                </c:pt>
                <c:pt idx="16">
                  <c:v>0.5879108862092567</c:v>
                </c:pt>
                <c:pt idx="17">
                  <c:v>0.6195823679132088</c:v>
                </c:pt>
                <c:pt idx="18">
                  <c:v>0.6340103283980084</c:v>
                </c:pt>
                <c:pt idx="19">
                  <c:v>0.5417876108083514</c:v>
                </c:pt>
                <c:pt idx="20">
                  <c:v>0.6048856019620104</c:v>
                </c:pt>
                <c:pt idx="21">
                  <c:v>0.5901327759876522</c:v>
                </c:pt>
                <c:pt idx="22">
                  <c:v>0.6286012796808005</c:v>
                </c:pt>
                <c:pt idx="23">
                  <c:v>0.5914838756016226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0.3825247217575985</c:v>
                </c:pt>
                <c:pt idx="3">
                  <c:v>0.43181821260570513</c:v>
                </c:pt>
                <c:pt idx="4">
                  <c:v>0.400664504925346</c:v>
                </c:pt>
                <c:pt idx="5">
                  <c:v>0.4101219292511242</c:v>
                </c:pt>
                <c:pt idx="6">
                  <c:v>0.3970588396422582</c:v>
                </c:pt>
                <c:pt idx="7">
                  <c:v>0.37739903714249845</c:v>
                </c:pt>
                <c:pt idx="8">
                  <c:v>0.37851335341826364</c:v>
                </c:pt>
                <c:pt idx="9">
                  <c:v>0.3674976203296913</c:v>
                </c:pt>
                <c:pt idx="10">
                  <c:v>0.4478454827757035</c:v>
                </c:pt>
                <c:pt idx="11">
                  <c:v>0.4247349851323538</c:v>
                </c:pt>
                <c:pt idx="12">
                  <c:v>0.37108502935725546</c:v>
                </c:pt>
                <c:pt idx="13">
                  <c:v>0</c:v>
                </c:pt>
                <c:pt idx="14">
                  <c:v>0.47638531247219257</c:v>
                </c:pt>
                <c:pt idx="15">
                  <c:v>0.38749036126955233</c:v>
                </c:pt>
                <c:pt idx="16">
                  <c:v>0.30907803021965113</c:v>
                </c:pt>
                <c:pt idx="17">
                  <c:v>0.3468246711899833</c:v>
                </c:pt>
                <c:pt idx="18">
                  <c:v>0.42358298583953824</c:v>
                </c:pt>
                <c:pt idx="19">
                  <c:v>0.4438717792918446</c:v>
                </c:pt>
                <c:pt idx="20">
                  <c:v>0.4235774273695235</c:v>
                </c:pt>
                <c:pt idx="21">
                  <c:v>0.4338026719579347</c:v>
                </c:pt>
                <c:pt idx="22">
                  <c:v>0.3818320190358588</c:v>
                </c:pt>
                <c:pt idx="23">
                  <c:v>0.40255025220232477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0.13636365945427883</c:v>
                </c:pt>
                <c:pt idx="4">
                  <c:v>0.1912305394785338</c:v>
                </c:pt>
                <c:pt idx="5">
                  <c:v>0</c:v>
                </c:pt>
                <c:pt idx="6">
                  <c:v>0.23529414342761312</c:v>
                </c:pt>
                <c:pt idx="7">
                  <c:v>0</c:v>
                </c:pt>
                <c:pt idx="8">
                  <c:v>0</c:v>
                </c:pt>
                <c:pt idx="9">
                  <c:v>0</c:v>
                </c:pt>
                <c:pt idx="10">
                  <c:v>0</c:v>
                </c:pt>
                <c:pt idx="11">
                  <c:v>0</c:v>
                </c:pt>
                <c:pt idx="12">
                  <c:v>0.09432196949015949</c:v>
                </c:pt>
                <c:pt idx="13">
                  <c:v>0</c:v>
                </c:pt>
                <c:pt idx="14">
                  <c:v>0.3700405146660542</c:v>
                </c:pt>
                <c:pt idx="15">
                  <c:v>0</c:v>
                </c:pt>
                <c:pt idx="16">
                  <c:v>0.024470293507876297</c:v>
                </c:pt>
                <c:pt idx="17">
                  <c:v>0.16146812413231063</c:v>
                </c:pt>
                <c:pt idx="18">
                  <c:v>0.204926393170718</c:v>
                </c:pt>
                <c:pt idx="19">
                  <c:v>0.3445158828091604</c:v>
                </c:pt>
                <c:pt idx="20">
                  <c:v>0.14697318155353853</c:v>
                </c:pt>
                <c:pt idx="21">
                  <c:v>0.25950452238349525</c:v>
                </c:pt>
                <c:pt idx="22">
                  <c:v>0.301849799437522</c:v>
                </c:pt>
                <c:pt idx="23">
                  <c:v>0.292490248970193</c:v>
                </c:pt>
                <c:pt idx="24">
                  <c:v>0</c:v>
                </c:pt>
                <c:pt idx="25">
                  <c:v>0</c:v>
                </c:pt>
                <c:pt idx="26">
                  <c:v>0</c:v>
                </c:pt>
              </c:numCache>
            </c:numRef>
          </c:val>
        </c:ser>
        <c:overlap val="100"/>
        <c:gapWidth val="100"/>
        <c:axId val="28123660"/>
        <c:axId val="5178634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0.40927496594798857</c:v>
                </c:pt>
                <c:pt idx="3">
                  <c:v>0.5914059445585431</c:v>
                </c:pt>
                <c:pt idx="4">
                  <c:v>0.44745179381782146</c:v>
                </c:pt>
                <c:pt idx="5">
                  <c:v>0.4407397926135278</c:v>
                </c:pt>
                <c:pt idx="6">
                  <c:v>0.43943315380293646</c:v>
                </c:pt>
                <c:pt idx="7">
                  <c:v>0.49271010835846357</c:v>
                </c:pt>
                <c:pt idx="8">
                  <c:v>0.6000772191869675</c:v>
                </c:pt>
                <c:pt idx="9">
                  <c:v>0.4078019669043867</c:v>
                </c:pt>
                <c:pt idx="10">
                  <c:v>0.4143257072239057</c:v>
                </c:pt>
                <c:pt idx="11">
                  <c:v>0.44330092556721784</c:v>
                </c:pt>
                <c:pt idx="12">
                  <c:v>0.5619478177878707</c:v>
                </c:pt>
                <c:pt idx="13">
                  <c:v>0.5</c:v>
                </c:pt>
                <c:pt idx="14">
                  <c:v>0.4777058130451977</c:v>
                </c:pt>
                <c:pt idx="15">
                  <c:v>0.47529592907562584</c:v>
                </c:pt>
                <c:pt idx="16">
                  <c:v>0.45456088450305426</c:v>
                </c:pt>
                <c:pt idx="17">
                  <c:v>0.5653248464256052</c:v>
                </c:pt>
                <c:pt idx="18">
                  <c:v>0.6260780225142824</c:v>
                </c:pt>
                <c:pt idx="19">
                  <c:v>0.5498389481983778</c:v>
                </c:pt>
                <c:pt idx="20">
                  <c:v>0.4846238981171725</c:v>
                </c:pt>
                <c:pt idx="21">
                  <c:v>0.37471418552730906</c:v>
                </c:pt>
                <c:pt idx="22">
                  <c:v>0.33934527777955426</c:v>
                </c:pt>
                <c:pt idx="23">
                  <c:v>0.4113764419717614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0.330745713857826</c:v>
                </c:pt>
                <c:pt idx="5">
                  <c:v>0.4716514962162181</c:v>
                </c:pt>
                <c:pt idx="6">
                  <c:v>-999</c:v>
                </c:pt>
                <c:pt idx="7">
                  <c:v>-999</c:v>
                </c:pt>
                <c:pt idx="8">
                  <c:v>-999</c:v>
                </c:pt>
                <c:pt idx="9">
                  <c:v>-999</c:v>
                </c:pt>
                <c:pt idx="10">
                  <c:v>-999</c:v>
                </c:pt>
                <c:pt idx="11">
                  <c:v>0.4348796917350852</c:v>
                </c:pt>
                <c:pt idx="12">
                  <c:v>-999</c:v>
                </c:pt>
                <c:pt idx="13">
                  <c:v>0.422884246432415</c:v>
                </c:pt>
                <c:pt idx="14">
                  <c:v>0.506443351771435</c:v>
                </c:pt>
                <c:pt idx="15">
                  <c:v>0.5000000174358533</c:v>
                </c:pt>
                <c:pt idx="16">
                  <c:v>0.555365732343261</c:v>
                </c:pt>
                <c:pt idx="17">
                  <c:v>-999</c:v>
                </c:pt>
                <c:pt idx="18">
                  <c:v>-999</c:v>
                </c:pt>
                <c:pt idx="19">
                  <c:v>-999</c:v>
                </c:pt>
                <c:pt idx="20">
                  <c:v>-999</c:v>
                </c:pt>
                <c:pt idx="21">
                  <c:v>0.367693469360409</c:v>
                </c:pt>
                <c:pt idx="22">
                  <c:v>0.39218178911188756</c:v>
                </c:pt>
                <c:pt idx="23">
                  <c:v>0.4470501301544755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0.27394602083634684</c:v>
                </c:pt>
                <c:pt idx="3">
                  <c:v>0.45454547597357076</c:v>
                </c:pt>
                <c:pt idx="4">
                  <c:v>-999</c:v>
                </c:pt>
                <c:pt idx="5">
                  <c:v>-999</c:v>
                </c:pt>
                <c:pt idx="6">
                  <c:v>0.3235294441450821</c:v>
                </c:pt>
                <c:pt idx="7">
                  <c:v>0.42452092468219</c:v>
                </c:pt>
                <c:pt idx="8">
                  <c:v>0.5220190064282733</c:v>
                </c:pt>
                <c:pt idx="9">
                  <c:v>0.19592415573773722</c:v>
                </c:pt>
                <c:pt idx="10">
                  <c:v>0.3536673985708244</c:v>
                </c:pt>
                <c:pt idx="11">
                  <c:v>-999</c:v>
                </c:pt>
                <c:pt idx="12">
                  <c:v>0.41271654711638084</c:v>
                </c:pt>
                <c:pt idx="13">
                  <c:v>-999</c:v>
                </c:pt>
                <c:pt idx="14">
                  <c:v>-999</c:v>
                </c:pt>
                <c:pt idx="15">
                  <c:v>-999</c:v>
                </c:pt>
                <c:pt idx="16">
                  <c:v>-999</c:v>
                </c:pt>
                <c:pt idx="17">
                  <c:v>0.3475075209855867</c:v>
                </c:pt>
                <c:pt idx="18">
                  <c:v>-999</c:v>
                </c:pt>
                <c:pt idx="19">
                  <c:v>0.4226093092722792</c:v>
                </c:pt>
                <c:pt idx="20">
                  <c:v>0.3048872517429351</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3423958"/>
        <c:axId val="33944711"/>
      </c:scatterChart>
      <c:catAx>
        <c:axId val="28123660"/>
        <c:scaling>
          <c:orientation val="maxMin"/>
        </c:scaling>
        <c:axPos val="l"/>
        <c:delete val="0"/>
        <c:numFmt formatCode="General" sourceLinked="1"/>
        <c:majorTickMark val="out"/>
        <c:minorTickMark val="none"/>
        <c:tickLblPos val="none"/>
        <c:spPr>
          <a:ln w="3175">
            <a:noFill/>
          </a:ln>
        </c:spPr>
        <c:crossAx val="51786349"/>
        <c:crosses val="autoZero"/>
        <c:auto val="1"/>
        <c:lblOffset val="100"/>
        <c:tickLblSkip val="1"/>
        <c:noMultiLvlLbl val="0"/>
      </c:catAx>
      <c:valAx>
        <c:axId val="51786349"/>
        <c:scaling>
          <c:orientation val="minMax"/>
          <c:max val="1"/>
          <c:min val="0"/>
        </c:scaling>
        <c:axPos val="t"/>
        <c:delete val="0"/>
        <c:numFmt formatCode="General" sourceLinked="1"/>
        <c:majorTickMark val="none"/>
        <c:minorTickMark val="none"/>
        <c:tickLblPos val="none"/>
        <c:spPr>
          <a:ln w="3175">
            <a:noFill/>
          </a:ln>
        </c:spPr>
        <c:crossAx val="28123660"/>
        <c:crossesAt val="1"/>
        <c:crossBetween val="between"/>
        <c:dispUnits/>
        <c:majorUnit val="1"/>
      </c:valAx>
      <c:valAx>
        <c:axId val="63423958"/>
        <c:scaling>
          <c:orientation val="minMax"/>
          <c:max val="1"/>
          <c:min val="0"/>
        </c:scaling>
        <c:axPos val="t"/>
        <c:delete val="0"/>
        <c:numFmt formatCode="General" sourceLinked="1"/>
        <c:majorTickMark val="none"/>
        <c:minorTickMark val="none"/>
        <c:tickLblPos val="none"/>
        <c:spPr>
          <a:ln w="3175">
            <a:noFill/>
          </a:ln>
        </c:spPr>
        <c:crossAx val="33944711"/>
        <c:crosses val="max"/>
        <c:crossBetween val="midCat"/>
        <c:dispUnits/>
        <c:majorUnit val="0.1"/>
        <c:minorUnit val="0.020000000000000004"/>
      </c:valAx>
      <c:valAx>
        <c:axId val="33944711"/>
        <c:scaling>
          <c:orientation val="maxMin"/>
          <c:max val="29"/>
          <c:min val="0"/>
        </c:scaling>
        <c:axPos val="l"/>
        <c:delete val="0"/>
        <c:numFmt formatCode="General" sourceLinked="1"/>
        <c:majorTickMark val="none"/>
        <c:minorTickMark val="none"/>
        <c:tickLblPos val="none"/>
        <c:spPr>
          <a:ln w="3175">
            <a:noFill/>
          </a:ln>
        </c:spPr>
        <c:crossAx val="6342395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(J81003) ALMA PARTNERSHIP, BOURNEMOUTH AND POOLE TEACHING PCT (5QN)</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480</v>
      </c>
      <c r="Q3" s="65"/>
      <c r="R3" s="66"/>
      <c r="S3" s="66"/>
      <c r="T3" s="66"/>
      <c r="U3" s="66"/>
      <c r="V3" s="66"/>
      <c r="W3" s="66"/>
      <c r="X3" s="66"/>
      <c r="Y3" s="66"/>
      <c r="Z3" s="66"/>
      <c r="AA3" s="66"/>
      <c r="AB3" s="66"/>
      <c r="AC3" s="66"/>
    </row>
    <row r="4" spans="2:29" ht="18" customHeight="1">
      <c r="B4" s="319" t="s">
        <v>553</v>
      </c>
      <c r="C4" s="320"/>
      <c r="D4" s="320"/>
      <c r="E4" s="320"/>
      <c r="F4" s="320"/>
      <c r="G4" s="321"/>
      <c r="H4" s="112"/>
      <c r="I4" s="112"/>
      <c r="J4" s="112"/>
      <c r="K4" s="112"/>
      <c r="L4" s="113"/>
      <c r="M4" s="65"/>
      <c r="N4" s="65"/>
      <c r="O4" s="65"/>
      <c r="P4" s="134" t="s">
        <v>481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552</v>
      </c>
      <c r="C8" s="115"/>
      <c r="D8" s="115"/>
      <c r="E8" s="128">
        <f>VLOOKUP('Hide - Control'!A$3,'All practice data'!A:CA,4,FALSE)</f>
        <v>9295</v>
      </c>
      <c r="F8" s="310" t="str">
        <f>VLOOKUP('Hide - Control'!B4,'Hide - Calculation'!AY:BA,3,FALSE)</f>
        <v> </v>
      </c>
      <c r="G8" s="310"/>
      <c r="H8" s="310"/>
      <c r="I8" s="115"/>
      <c r="J8" s="115"/>
      <c r="K8" s="115"/>
      <c r="L8" s="115"/>
      <c r="M8" s="109"/>
      <c r="N8" s="314" t="s">
        <v>490</v>
      </c>
      <c r="O8" s="314"/>
      <c r="P8" s="314"/>
      <c r="Q8" s="314" t="s">
        <v>32</v>
      </c>
      <c r="R8" s="314"/>
      <c r="S8" s="314"/>
      <c r="T8" s="314" t="s">
        <v>556</v>
      </c>
      <c r="U8" s="314"/>
      <c r="V8" s="314" t="s">
        <v>33</v>
      </c>
      <c r="W8" s="314"/>
      <c r="X8" s="314"/>
      <c r="Y8" s="135"/>
      <c r="Z8" s="314" t="s">
        <v>483</v>
      </c>
      <c r="AA8" s="314"/>
      <c r="AB8" s="161"/>
      <c r="AC8" s="109"/>
    </row>
    <row r="9" spans="2:29" s="61" customFormat="1" ht="19.5" customHeight="1" thickBot="1">
      <c r="B9" s="114" t="s">
        <v>475</v>
      </c>
      <c r="C9" s="114"/>
      <c r="D9" s="114"/>
      <c r="E9" s="129">
        <f>VLOOKUP('Hide - Control'!B4,'Hide - Calculation'!AY:BB,4,FALSE)</f>
        <v>366645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453</v>
      </c>
      <c r="E11" s="317"/>
      <c r="F11" s="318"/>
      <c r="G11" s="263" t="s">
        <v>451</v>
      </c>
      <c r="H11" s="255" t="s">
        <v>452</v>
      </c>
      <c r="I11" s="255" t="s">
        <v>463</v>
      </c>
      <c r="J11" s="255" t="s">
        <v>464</v>
      </c>
      <c r="K11" s="255" t="s">
        <v>335</v>
      </c>
      <c r="L11" s="256" t="s">
        <v>377</v>
      </c>
      <c r="M11" s="257" t="s">
        <v>473</v>
      </c>
      <c r="N11" s="334" t="s">
        <v>471</v>
      </c>
      <c r="O11" s="334"/>
      <c r="P11" s="334"/>
      <c r="Q11" s="334"/>
      <c r="R11" s="334"/>
      <c r="S11" s="334"/>
      <c r="T11" s="334"/>
      <c r="U11" s="334"/>
      <c r="V11" s="334"/>
      <c r="W11" s="334"/>
      <c r="X11" s="334"/>
      <c r="Y11" s="334"/>
      <c r="Z11" s="334"/>
      <c r="AA11" s="258" t="s">
        <v>474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333</v>
      </c>
      <c r="C13" s="163">
        <v>1</v>
      </c>
      <c r="D13" s="312" t="s">
        <v>329</v>
      </c>
      <c r="E13" s="313"/>
      <c r="F13" s="313"/>
      <c r="G13" s="166">
        <f>IF(VLOOKUP('Hide - Control'!A$3,'All practice data'!A:CA,C13+4,FALSE)=" "," ",VLOOKUP('Hide - Control'!A$3,'All practice data'!A:CA,C13+4,FALSE))</f>
        <v>1179</v>
      </c>
      <c r="H13" s="190">
        <f>IF(VLOOKUP('Hide - Control'!A$3,'All practice data'!A:CA,C13+30,FALSE)=" "," ",VLOOKUP('Hide - Control'!A$3,'All practice data'!A:CA,C13+30,FALSE))</f>
        <v>0.1268423883808499</v>
      </c>
      <c r="I13" s="191">
        <f>IF(LEFT(G13,1)=" "," n/a",+((2*G13+1.96^2-1.96*SQRT(1.96^2+4*G13*(1-G13/E$8)))/(2*(E$8+1.96^2))))</f>
        <v>0.12023053512059405</v>
      </c>
      <c r="J13" s="191">
        <f>IF(LEFT(G13,1)=" "," n/a",+((2*G13+1.96^2+1.96*SQRT(1.96^2+4*G13*(1-G13/E$8)))/(2*(E$8+1.96^2))))</f>
        <v>0.13376256440698583</v>
      </c>
      <c r="K13" s="190">
        <f>IF('Hide - Calculation'!N7="","",'Hide - Calculation'!N7)</f>
        <v>0.18720015273629806</v>
      </c>
      <c r="L13" s="192">
        <f>'Hide - Calculation'!O7</f>
        <v>0.1599882305185145</v>
      </c>
      <c r="M13" s="208">
        <f>IF(ISBLANK('Hide - Calculation'!K7),"",'Hide - Calculation'!U7)</f>
        <v>0.05974534898996353</v>
      </c>
      <c r="N13" s="173"/>
      <c r="O13" s="173"/>
      <c r="P13" s="173"/>
      <c r="Q13" s="173"/>
      <c r="R13" s="173"/>
      <c r="S13" s="173"/>
      <c r="T13" s="173"/>
      <c r="U13" s="173"/>
      <c r="V13" s="173"/>
      <c r="W13" s="173"/>
      <c r="X13" s="173"/>
      <c r="Y13" s="173"/>
      <c r="Z13" s="173"/>
      <c r="AA13" s="226">
        <f>IF(ISBLANK('Hide - Calculation'!K7),"",'Hide - Calculation'!T7)</f>
        <v>0.3032724857330322</v>
      </c>
      <c r="AB13" s="233" t="s">
        <v>550</v>
      </c>
      <c r="AC13" s="209" t="s">
        <v>551</v>
      </c>
    </row>
    <row r="14" spans="2:29" ht="33.75" customHeight="1">
      <c r="B14" s="306"/>
      <c r="C14" s="137">
        <v>2</v>
      </c>
      <c r="D14" s="132" t="s">
        <v>484</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0.12</v>
      </c>
      <c r="I14" s="120">
        <f>IF(LEFT(G14,1)=" "," n/a",+((2*H14*E8+1.96^2-1.96*SQRT(1.96^2+4*H14*E8*(1-H14*E8/E$8)))/(2*(E$8+1.96^2))))</f>
        <v>0.11355011085261084</v>
      </c>
      <c r="J14" s="120">
        <f>IF(LEFT(G14,1)=" "," n/a",+((2*H14*E8+1.96^2+1.96*SQRT(1.96^2+4*H14*E8*(1-H14*E8/E$8)))/(2*(E$8+1.96^2))))</f>
        <v>0.12676386546030968</v>
      </c>
      <c r="K14" s="119">
        <f>IF('Hide - Calculation'!N8="","",'Hide - Calculation'!N8)</f>
        <v>0.13143823044088965</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0.23999999463558197</v>
      </c>
      <c r="AB14" s="234" t="s">
        <v>39</v>
      </c>
      <c r="AC14" s="130" t="s">
        <v>551</v>
      </c>
    </row>
    <row r="15" spans="2:39" s="63" customFormat="1" ht="33.75" customHeight="1">
      <c r="B15" s="306"/>
      <c r="C15" s="137">
        <v>3</v>
      </c>
      <c r="D15" s="132" t="s">
        <v>338</v>
      </c>
      <c r="E15" s="85"/>
      <c r="F15" s="85"/>
      <c r="G15" s="121">
        <f>IF(VLOOKUP('Hide - Control'!A$3,'All practice data'!A:CA,C15+4,FALSE)=" "," ",VLOOKUP('Hide - Control'!A$3,'All practice data'!A:CA,C15+4,FALSE))</f>
        <v>32</v>
      </c>
      <c r="H15" s="122">
        <f>IF(VLOOKUP('Hide - Control'!A$3,'All practice data'!A:CA,C15+30,FALSE)=" "," ",VLOOKUP('Hide - Control'!A$3,'All practice data'!A:CA,C15+30,FALSE))</f>
        <v>344.2711135018827</v>
      </c>
      <c r="I15" s="123">
        <f>IF(LEFT(G15,1)=" "," n/a",IF(G15&lt;5,100000*VLOOKUP(G15,'Hide - Calculation'!AQ:AR,2,FALSE)/$E$8,100000*(G15*(1-1/(9*G15)-1.96/(3*SQRT(G15)))^3)/$E$8))</f>
        <v>235.43883617337514</v>
      </c>
      <c r="J15" s="123">
        <f>IF(LEFT(G15,1)=" "," n/a",IF(G15&lt;5,100000*VLOOKUP(G15,'Hide - Calculation'!AQ:AS,3,FALSE)/$E$8,100000*((G15+1)*(1-1/(9*(G15+1))+1.96/(3*SQRT(G15+1)))^3)/$E$8))</f>
        <v>486.0269476950727</v>
      </c>
      <c r="K15" s="122">
        <f>IF('Hide - Calculation'!N9="","",'Hide - Calculation'!N9)</f>
        <v>486.301463268284</v>
      </c>
      <c r="L15" s="156">
        <f>'Hide - Calculation'!O9</f>
        <v>445.6198871279627</v>
      </c>
      <c r="M15" s="151">
        <f>IF(ISBLANK('Hide - Calculation'!K9),"",'Hide - Calculation'!U9)</f>
        <v>223.11468505859375</v>
      </c>
      <c r="N15" s="84"/>
      <c r="O15" s="84"/>
      <c r="P15" s="84"/>
      <c r="Q15" s="84"/>
      <c r="R15" s="84"/>
      <c r="S15" s="84"/>
      <c r="T15" s="84"/>
      <c r="U15" s="84"/>
      <c r="V15" s="84"/>
      <c r="W15" s="84"/>
      <c r="X15" s="84"/>
      <c r="Y15" s="84"/>
      <c r="Z15" s="84"/>
      <c r="AA15" s="228">
        <f>IF(ISBLANK('Hide - Calculation'!K9),"",'Hide - Calculation'!T9)</f>
        <v>925.45849609375</v>
      </c>
      <c r="AB15" s="234" t="s">
        <v>454</v>
      </c>
      <c r="AC15" s="131">
        <v>2009</v>
      </c>
      <c r="AD15" s="64"/>
      <c r="AE15" s="64"/>
      <c r="AF15" s="64"/>
      <c r="AG15" s="64"/>
      <c r="AH15" s="64"/>
      <c r="AI15" s="64"/>
      <c r="AJ15" s="64"/>
      <c r="AK15" s="64"/>
      <c r="AL15" s="64"/>
      <c r="AM15" s="64"/>
    </row>
    <row r="16" spans="2:29" s="63" customFormat="1" ht="33.75" customHeight="1">
      <c r="B16" s="306"/>
      <c r="C16" s="137">
        <v>4</v>
      </c>
      <c r="D16" s="132" t="s">
        <v>476</v>
      </c>
      <c r="E16" s="85"/>
      <c r="F16" s="85"/>
      <c r="G16" s="121">
        <f>IF(VLOOKUP('Hide - Control'!A$3,'All practice data'!A:CA,C16+4,FALSE)=" "," ",VLOOKUP('Hide - Control'!A$3,'All practice data'!A:CA,C16+4,FALSE))</f>
        <v>23</v>
      </c>
      <c r="H16" s="122">
        <f>IF(VLOOKUP('Hide - Control'!A$3,'All practice data'!A:CA,C16+30,FALSE)=" "," ",VLOOKUP('Hide - Control'!A$3,'All practice data'!A:CA,C16+30,FALSE))</f>
        <v>247.4448628294782</v>
      </c>
      <c r="I16" s="123">
        <f>IF(LEFT(G16,1)=" "," n/a",IF(G16&lt;5,100000*VLOOKUP(G16,'Hide - Calculation'!AQ:AR,2,FALSE)/$E$8,100000*(G16*(1-1/(9*G16)-1.96/(3*SQRT(G16)))^3)/$E$8))</f>
        <v>156.80735068671427</v>
      </c>
      <c r="J16" s="123">
        <f>IF(LEFT(G16,1)=" "," n/a",IF(G16&lt;5,100000*VLOOKUP(G16,'Hide - Calculation'!AQ:AS,3,FALSE)/$E$8,100000*((G16+1)*(1-1/(9*(G16+1))+1.96/(3*SQRT(G16+1)))^3)/$E$8))</f>
        <v>371.3075317038902</v>
      </c>
      <c r="K16" s="122">
        <f>IF('Hide - Calculation'!N10="","",'Hide - Calculation'!N10)</f>
        <v>268.92498193075045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471.9803161621094</v>
      </c>
      <c r="AB16" s="234" t="s">
        <v>332</v>
      </c>
      <c r="AC16" s="131" t="s">
        <v>508</v>
      </c>
    </row>
    <row r="17" spans="2:29" s="63" customFormat="1" ht="33.75" customHeight="1" thickBot="1">
      <c r="B17" s="309"/>
      <c r="C17" s="180">
        <v>5</v>
      </c>
      <c r="D17" s="195" t="s">
        <v>337</v>
      </c>
      <c r="E17" s="182"/>
      <c r="F17" s="182"/>
      <c r="G17" s="140">
        <f>IF(VLOOKUP('Hide - Control'!A$3,'All practice data'!A:CA,C17+4,FALSE)=" "," ",VLOOKUP('Hide - Control'!A$3,'All practice data'!A:CA,C17+4,FALSE))</f>
        <v>109</v>
      </c>
      <c r="H17" s="141">
        <f>IF(VLOOKUP('Hide - Control'!A$3,'All practice data'!A:CA,C17+30,FALSE)=" "," ",VLOOKUP('Hide - Control'!A$3,'All practice data'!A:CA,C17+30,FALSE))</f>
        <v>0.012</v>
      </c>
      <c r="I17" s="142">
        <f>IF(LEFT(G17,1)=" "," n/a",+((2*G17+1.96^2-1.96*SQRT(1.96^2+4*G17*(1-G17/E$8)))/(2*(E$8+1.96^2))))</f>
        <v>0.009731067283460208</v>
      </c>
      <c r="J17" s="142">
        <f>IF(LEFT(G17,1)=" "," n/a",+((2*G17+1.96^2+1.96*SQRT(1.96^2+4*G17*(1-G17/E$8)))/(2*(E$8+1.96^2))))</f>
        <v>0.014125839796234538</v>
      </c>
      <c r="K17" s="141">
        <f>IF('Hide - Calculation'!N11="","",'Hide - Calculation'!N11)</f>
        <v>0.019582975357634768</v>
      </c>
      <c r="L17" s="157">
        <f>'Hide - Calculation'!O11</f>
        <v>0.015940726342527432</v>
      </c>
      <c r="M17" s="210">
        <f>IF(ISBLANK('Hide - Calculation'!K11),"",'Hide - Calculation'!U11)</f>
        <v>0.008999999612569809</v>
      </c>
      <c r="N17" s="91"/>
      <c r="O17" s="91"/>
      <c r="P17" s="91"/>
      <c r="Q17" s="91"/>
      <c r="R17" s="91"/>
      <c r="S17" s="91"/>
      <c r="T17" s="91"/>
      <c r="U17" s="91"/>
      <c r="V17" s="91"/>
      <c r="W17" s="91"/>
      <c r="X17" s="91"/>
      <c r="Y17" s="91"/>
      <c r="Z17" s="91"/>
      <c r="AA17" s="229">
        <f>IF(ISBLANK('Hide - Calculation'!K11),"",'Hide - Calculation'!T11)</f>
        <v>0.03500000014901161</v>
      </c>
      <c r="AB17" s="235" t="s">
        <v>477</v>
      </c>
      <c r="AC17" s="189" t="s">
        <v>508</v>
      </c>
    </row>
    <row r="18" spans="2:29" s="63" customFormat="1" ht="33.75" customHeight="1">
      <c r="B18" s="308" t="s">
        <v>13</v>
      </c>
      <c r="C18" s="163">
        <v>6</v>
      </c>
      <c r="D18" s="164" t="s">
        <v>485</v>
      </c>
      <c r="E18" s="165"/>
      <c r="F18" s="165"/>
      <c r="G18" s="219">
        <f>IF(OR(VLOOKUP('Hide - Control'!A$3,'All practice data'!A:CA,C18+4,FALSE)=" ",VLOOKUP('Hide - Control'!A$3,'All practice data'!A:CA,C18+52,FALSE)=0)," n/a",VLOOKUP('Hide - Control'!A$3,'All practice data'!A:CA,C18+4,FALSE))</f>
        <v>573</v>
      </c>
      <c r="H18" s="220">
        <f>IF(OR(VLOOKUP('Hide - Control'!A$3,'All practice data'!A:CA,C18+30,FALSE)=" ",VLOOKUP('Hide - Control'!A$3,'All practice data'!A:CA,C18+52,FALSE)=0)," n/a",VLOOKUP('Hide - Control'!A$3,'All practice data'!A:CA,C18+30,FALSE))</f>
        <v>0.688702</v>
      </c>
      <c r="I18" s="191">
        <f>IF(OR(LEFT(H18,1)=" ",VLOOKUP('Hide - Control'!A$3,'All practice data'!A:CA,C18+52,FALSE)=0)," n/a",+((2*G18+1.96^2-1.96*SQRT(1.96^2+4*G18*(1-G18/(VLOOKUP('Hide - Control'!A$3,'All practice data'!A:CA,C18+52,FALSE)))))/(2*(((VLOOKUP('Hide - Control'!A$3,'All practice data'!A:CA,C18+52,FALSE)))+1.96^2))))</f>
        <v>0.6564321745494861</v>
      </c>
      <c r="J18" s="191">
        <f>IF(OR(LEFT(H18,1)=" ",VLOOKUP('Hide - Control'!A$3,'All practice data'!A:CA,C18+52,FALSE)=0)," n/a",+((2*G18+1.96^2+1.96*SQRT(1.96^2+4*G18*(1-G18/(VLOOKUP('Hide - Control'!A$3,'All practice data'!A:CA,C18+52,FALSE)))))/(2*((VLOOKUP('Hide - Control'!A$3,'All practice data'!A:CA,C18+52,FALSE))+1.96^2))))</f>
        <v>0.7192370910147069</v>
      </c>
      <c r="K18" s="220">
        <f>IF('Hide - Calculation'!N12="","",'Hide - Calculation'!N12)</f>
        <v>0.7261921344662674</v>
      </c>
      <c r="L18" s="192">
        <f>'Hide - Calculation'!O12</f>
        <v>0.7248631360507991</v>
      </c>
      <c r="M18" s="193">
        <f>IF(ISBLANK('Hide - Calculation'!K12),"",'Hide - Calculation'!U12)</f>
        <v>0.46357598900794983</v>
      </c>
      <c r="N18" s="194"/>
      <c r="O18" s="173"/>
      <c r="P18" s="173"/>
      <c r="Q18" s="173"/>
      <c r="R18" s="173"/>
      <c r="S18" s="173"/>
      <c r="T18" s="173"/>
      <c r="U18" s="173"/>
      <c r="V18" s="173"/>
      <c r="W18" s="173"/>
      <c r="X18" s="173"/>
      <c r="Y18" s="173"/>
      <c r="Z18" s="174"/>
      <c r="AA18" s="193">
        <f>IF(ISBLANK('Hide - Calculation'!K12),"",'Hide - Calculation'!T12)</f>
        <v>0.8684210181236267</v>
      </c>
      <c r="AB18" s="233" t="s">
        <v>48</v>
      </c>
      <c r="AC18" s="175" t="s">
        <v>509</v>
      </c>
    </row>
    <row r="19" spans="2:29" s="63" customFormat="1" ht="33.75" customHeight="1">
      <c r="B19" s="306"/>
      <c r="C19" s="137">
        <v>7</v>
      </c>
      <c r="D19" s="132" t="s">
        <v>486</v>
      </c>
      <c r="E19" s="85"/>
      <c r="F19" s="85"/>
      <c r="G19" s="221">
        <f>IF(OR(VLOOKUP('Hide - Control'!A$3,'All practice data'!A:CA,C19+4,FALSE)=" ",VLOOKUP('Hide - Control'!A$3,'All practice data'!A:CA,C19+52,FALSE)=0)," n/a",VLOOKUP('Hide - Control'!A$3,'All practice data'!A:CA,C19+4,FALSE))</f>
        <v>533</v>
      </c>
      <c r="H19" s="218">
        <f>IF(OR(VLOOKUP('Hide - Control'!A$3,'All practice data'!A:CA,C19+30,FALSE)=" ",VLOOKUP('Hide - Control'!A$3,'All practice data'!A:CA,C19+52,FALSE)=0)," n/a",VLOOKUP('Hide - Control'!A$3,'All practice data'!A:CA,C19+30,FALSE))</f>
        <v>0.671285</v>
      </c>
      <c r="I19" s="120">
        <f>IF(OR(LEFT(H19,1)=" ",VLOOKUP('Hide - Control'!A$3,'All practice data'!A:CA,C19+52,FALSE)=0)," n/a",+((2*G19+1.96^2-1.96*SQRT(1.96^2+4*G19*(1-G19/(VLOOKUP('Hide - Control'!A$3,'All practice data'!A:CA,C19+52,FALSE)))))/(2*(((VLOOKUP('Hide - Control'!A$3,'All practice data'!A:CA,C19+52,FALSE)))+1.96^2))))</f>
        <v>0.6378537105366324</v>
      </c>
      <c r="J19" s="120">
        <f>IF(OR(LEFT(H19,1)=" ",VLOOKUP('Hide - Control'!A$3,'All practice data'!A:CA,C19+52,FALSE)=0)," n/a",+((2*G19+1.96^2+1.96*SQRT(1.96^2+4*G19*(1-G19/(VLOOKUP('Hide - Control'!A$3,'All practice data'!A:CA,C19+52,FALSE)))))/(2*((VLOOKUP('Hide - Control'!A$3,'All practice data'!A:CA,C19+52,FALSE))+1.96^2))))</f>
        <v>0.7030660910881513</v>
      </c>
      <c r="K19" s="218">
        <f>IF('Hide - Calculation'!N13="","",'Hide - Calculation'!N13)</f>
        <v>0.7211320510329642</v>
      </c>
      <c r="L19" s="155">
        <f>'Hide - Calculation'!O13</f>
        <v>0.7467412166569077</v>
      </c>
      <c r="M19" s="152">
        <f>IF(ISBLANK('Hide - Calculation'!K13),"",'Hide - Calculation'!U13)</f>
        <v>0.16666699945926666</v>
      </c>
      <c r="N19" s="160"/>
      <c r="O19" s="84"/>
      <c r="P19" s="84"/>
      <c r="Q19" s="84"/>
      <c r="R19" s="84"/>
      <c r="S19" s="84"/>
      <c r="T19" s="84"/>
      <c r="U19" s="84"/>
      <c r="V19" s="84"/>
      <c r="W19" s="84"/>
      <c r="X19" s="84"/>
      <c r="Y19" s="84"/>
      <c r="Z19" s="88"/>
      <c r="AA19" s="152">
        <f>IF(ISBLANK('Hide - Calculation'!K13),"",'Hide - Calculation'!T13)</f>
        <v>0.8215100169181824</v>
      </c>
      <c r="AB19" s="234" t="s">
        <v>48</v>
      </c>
      <c r="AC19" s="131" t="s">
        <v>508</v>
      </c>
    </row>
    <row r="20" spans="2:29" s="63" customFormat="1" ht="33.75" customHeight="1">
      <c r="B20" s="306"/>
      <c r="C20" s="137">
        <v>8</v>
      </c>
      <c r="D20" s="132" t="s">
        <v>487</v>
      </c>
      <c r="E20" s="85"/>
      <c r="F20" s="85"/>
      <c r="G20" s="221">
        <f>IF(OR(VLOOKUP('Hide - Control'!A$3,'All practice data'!A:CA,C20+4,FALSE)=" ",VLOOKUP('Hide - Control'!A$3,'All practice data'!A:CA,C20+52,FALSE)=0)," n/a",VLOOKUP('Hide - Control'!A$3,'All practice data'!A:CA,C20+4,FALSE))</f>
        <v>1550</v>
      </c>
      <c r="H20" s="218">
        <f>IF(OR(VLOOKUP('Hide - Control'!A$3,'All practice data'!A:CA,C20+30,FALSE)=" ",VLOOKUP('Hide - Control'!A$3,'All practice data'!A:CA,C20+52,FALSE)=0)," n/a",VLOOKUP('Hide - Control'!A$3,'All practice data'!A:CA,C20+30,FALSE))</f>
        <v>0.679229</v>
      </c>
      <c r="I20" s="120">
        <f>IF(OR(LEFT(H20,1)=" ",VLOOKUP('Hide - Control'!A$3,'All practice data'!A:CA,C20+52,FALSE)=0)," n/a",+((2*G20+1.96^2-1.96*SQRT(1.96^2+4*G20*(1-G20/(VLOOKUP('Hide - Control'!A$3,'All practice data'!A:CA,C20+52,FALSE)))))/(2*(((VLOOKUP('Hide - Control'!A$3,'All practice data'!A:CA,C20+52,FALSE)))+1.96^2))))</f>
        <v>0.659789709867259</v>
      </c>
      <c r="J20" s="120">
        <f>IF(OR(LEFT(H20,1)=" ",VLOOKUP('Hide - Control'!A$3,'All practice data'!A:CA,C20+52,FALSE)=0)," n/a",+((2*G20+1.96^2+1.96*SQRT(1.96^2+4*G20*(1-G20/(VLOOKUP('Hide - Control'!A$3,'All practice data'!A:CA,C20+52,FALSE)))))/(2*((VLOOKUP('Hide - Control'!A$3,'All practice data'!A:CA,C20+52,FALSE))+1.96^2))))</f>
        <v>0.6980653576054826</v>
      </c>
      <c r="K20" s="218">
        <f>IF('Hide - Calculation'!N14="","",'Hide - Calculation'!N14)</f>
        <v>0.7798339154773195</v>
      </c>
      <c r="L20" s="155">
        <f>'Hide - Calculation'!O14</f>
        <v>0.7559681673907895</v>
      </c>
      <c r="M20" s="152">
        <f>IF(ISBLANK('Hide - Calculation'!K14),"",'Hide - Calculation'!U14)</f>
        <v>0.6082680225372314</v>
      </c>
      <c r="N20" s="160"/>
      <c r="O20" s="84"/>
      <c r="P20" s="84"/>
      <c r="Q20" s="84"/>
      <c r="R20" s="84"/>
      <c r="S20" s="84"/>
      <c r="T20" s="84"/>
      <c r="U20" s="84"/>
      <c r="V20" s="84"/>
      <c r="W20" s="84"/>
      <c r="X20" s="84"/>
      <c r="Y20" s="84"/>
      <c r="Z20" s="88"/>
      <c r="AA20" s="152">
        <f>IF(ISBLANK('Hide - Calculation'!K14),"",'Hide - Calculation'!T14)</f>
        <v>0.8681210279464722</v>
      </c>
      <c r="AB20" s="234" t="s">
        <v>48</v>
      </c>
      <c r="AC20" s="131" t="s">
        <v>510</v>
      </c>
    </row>
    <row r="21" spans="2:29" s="63" customFormat="1" ht="33.75" customHeight="1">
      <c r="B21" s="306"/>
      <c r="C21" s="137">
        <v>9</v>
      </c>
      <c r="D21" s="132" t="s">
        <v>488</v>
      </c>
      <c r="E21" s="85"/>
      <c r="F21" s="85"/>
      <c r="G21" s="221">
        <f>IF(OR(VLOOKUP('Hide - Control'!A$3,'All practice data'!A:CA,C21+4,FALSE)=" ",VLOOKUP('Hide - Control'!A$3,'All practice data'!A:CA,C21+52,FALSE)=0)," n/a",VLOOKUP('Hide - Control'!A$3,'All practice data'!A:CA,C21+4,FALSE))</f>
        <v>351</v>
      </c>
      <c r="H21" s="218">
        <f>IF(OR(VLOOKUP('Hide - Control'!A$3,'All practice data'!A:CA,C21+30,FALSE)=" ",VLOOKUP('Hide - Control'!A$3,'All practice data'!A:CA,C21+52,FALSE)=0)," n/a",VLOOKUP('Hide - Control'!A$3,'All practice data'!A:CA,C21+30,FALSE))</f>
        <v>0.484807</v>
      </c>
      <c r="I21" s="120">
        <f>IF(OR(LEFT(H21,1)=" ",VLOOKUP('Hide - Control'!A$3,'All practice data'!A:CA,C21+52,FALSE)=0)," n/a",+((2*G21+1.96^2-1.96*SQRT(1.96^2+4*G21*(1-G21/(VLOOKUP('Hide - Control'!A$3,'All practice data'!A:CA,C21+52,FALSE)))))/(2*(((VLOOKUP('Hide - Control'!A$3,'All practice data'!A:CA,C21+52,FALSE)))+1.96^2))))</f>
        <v>0.44857833874886827</v>
      </c>
      <c r="J21" s="120">
        <f>IF(OR(LEFT(H21,1)=" ",VLOOKUP('Hide - Control'!A$3,'All practice data'!A:CA,C21+52,FALSE)=0)," n/a",+((2*G21+1.96^2+1.96*SQRT(1.96^2+4*G21*(1-G21/(VLOOKUP('Hide - Control'!A$3,'All practice data'!A:CA,C21+52,FALSE)))))/(2*((VLOOKUP('Hide - Control'!A$3,'All practice data'!A:CA,C21+52,FALSE))+1.96^2))))</f>
        <v>0.521195304307533</v>
      </c>
      <c r="K21" s="218">
        <f>IF('Hide - Calculation'!N15="","",'Hide - Calculation'!N15)</f>
        <v>0.5746660364685688</v>
      </c>
      <c r="L21" s="155">
        <f>'Hide - Calculation'!O15</f>
        <v>0.5147293797466616</v>
      </c>
      <c r="M21" s="152">
        <f>IF(ISBLANK('Hide - Calculation'!K15),"",'Hide - Calculation'!U15)</f>
        <v>0.31034499406814575</v>
      </c>
      <c r="N21" s="160"/>
      <c r="O21" s="84"/>
      <c r="P21" s="84"/>
      <c r="Q21" s="84"/>
      <c r="R21" s="84"/>
      <c r="S21" s="84"/>
      <c r="T21" s="84"/>
      <c r="U21" s="84"/>
      <c r="V21" s="84"/>
      <c r="W21" s="84"/>
      <c r="X21" s="84"/>
      <c r="Y21" s="84"/>
      <c r="Z21" s="88"/>
      <c r="AA21" s="152">
        <f>IF(ISBLANK('Hide - Calculation'!K15),"",'Hide - Calculation'!T15)</f>
        <v>0.6717849969863892</v>
      </c>
      <c r="AB21" s="234" t="s">
        <v>48</v>
      </c>
      <c r="AC21" s="131" t="s">
        <v>509</v>
      </c>
    </row>
    <row r="22" spans="2:29" s="63" customFormat="1" ht="33.75" customHeight="1" thickBot="1">
      <c r="B22" s="309"/>
      <c r="C22" s="180">
        <v>10</v>
      </c>
      <c r="D22" s="195" t="s">
        <v>489</v>
      </c>
      <c r="E22" s="182"/>
      <c r="F22" s="182"/>
      <c r="G22" s="222">
        <f>IF(OR(VLOOKUP('Hide - Control'!A$3,'All practice data'!A:CA,C22+4,FALSE)=" ",VLOOKUP('Hide - Control'!A$3,'All practice data'!A:CA,C22+52,FALSE)=0)," n/a",VLOOKUP('Hide - Control'!A$3,'All practice data'!A:CA,C22+4,FALSE))</f>
        <v>180</v>
      </c>
      <c r="H22" s="223">
        <f>IF(OR(VLOOKUP('Hide - Control'!A$3,'All practice data'!A:CA,C22+30,FALSE)=" ",VLOOKUP('Hide - Control'!A$3,'All practice data'!A:CA,C22+52,FALSE)=0)," n/a",VLOOKUP('Hide - Control'!A$3,'All practice data'!A:CA,C22+30,FALSE))</f>
        <v>0.571429</v>
      </c>
      <c r="I22" s="196">
        <f>IF(OR(LEFT(H22,1)=" ",VLOOKUP('Hide - Control'!A$3,'All practice data'!A:CA,C22+52,FALSE)=0)," n/a",+((2*G22+1.96^2-1.96*SQRT(1.96^2+4*G22*(1-G22/(VLOOKUP('Hide - Control'!A$3,'All practice data'!A:CA,C22+52,FALSE)))))/(2*(((VLOOKUP('Hide - Control'!A$3,'All practice data'!A:CA,C22+52,FALSE)))+1.96^2))))</f>
        <v>0.516240963392767</v>
      </c>
      <c r="J22" s="196">
        <f>IF(OR(LEFT(H22,1)=" ",VLOOKUP('Hide - Control'!A$3,'All practice data'!A:CA,C22+52,FALSE)=0)," n/a",+((2*G22+1.96^2+1.96*SQRT(1.96^2+4*G22*(1-G22/(VLOOKUP('Hide - Control'!A$3,'All practice data'!A:CA,C22+52,FALSE)))))/(2*((VLOOKUP('Hide - Control'!A$3,'All practice data'!A:CA,C22+52,FALSE))+1.96^2))))</f>
        <v>0.6248949486086782</v>
      </c>
      <c r="K22" s="223">
        <f>IF('Hide - Calculation'!N16="","",'Hide - Calculation'!N16)</f>
        <v>0.6243501390400193</v>
      </c>
      <c r="L22" s="197">
        <f>'Hide - Calculation'!O16</f>
        <v>0.5752927626212945</v>
      </c>
      <c r="M22" s="198">
        <f>IF(ISBLANK('Hide - Calculation'!K16),"",'Hide - Calculation'!U16)</f>
        <v>0.3719010055065155</v>
      </c>
      <c r="N22" s="199"/>
      <c r="O22" s="91"/>
      <c r="P22" s="91"/>
      <c r="Q22" s="91"/>
      <c r="R22" s="91"/>
      <c r="S22" s="91"/>
      <c r="T22" s="91"/>
      <c r="U22" s="91"/>
      <c r="V22" s="91"/>
      <c r="W22" s="91"/>
      <c r="X22" s="91"/>
      <c r="Y22" s="91"/>
      <c r="Z22" s="188"/>
      <c r="AA22" s="198">
        <f>IF(ISBLANK('Hide - Calculation'!K16),"",'Hide - Calculation'!T16)</f>
        <v>0.7286750078201294</v>
      </c>
      <c r="AB22" s="235" t="s">
        <v>48</v>
      </c>
      <c r="AC22" s="189" t="s">
        <v>508</v>
      </c>
    </row>
    <row r="23" spans="2:29" s="63" customFormat="1" ht="33.75" customHeight="1">
      <c r="B23" s="308" t="s">
        <v>327</v>
      </c>
      <c r="C23" s="163">
        <v>11</v>
      </c>
      <c r="D23" s="179" t="s">
        <v>339</v>
      </c>
      <c r="E23" s="165"/>
      <c r="F23" s="165"/>
      <c r="G23" s="118">
        <f>IF(VLOOKUP('Hide - Control'!A$3,'All practice data'!A:CA,C23+4,FALSE)=" "," ",VLOOKUP('Hide - Control'!A$3,'All practice data'!A:CA,C23+4,FALSE))</f>
        <v>128</v>
      </c>
      <c r="H23" s="216">
        <f>IF(VLOOKUP('Hide - Control'!A$3,'All practice data'!A:CA,C23+30,FALSE)=" "," ",VLOOKUP('Hide - Control'!A$3,'All practice data'!A:CA,C23+30,FALSE))</f>
        <v>1377.084454007531</v>
      </c>
      <c r="I23" s="215">
        <f>IF(LEFT(G23,1)=" "," n/a",IF(G23&lt;5,100000*VLOOKUP(G23,'Hide - Calculation'!AQ:AR,2,FALSE)/$E$8,100000*(G23*(1-1/(9*G23)-1.96/(3*SQRT(G23)))^3)/$E$8))</f>
        <v>1148.8471366712702</v>
      </c>
      <c r="J23" s="215">
        <f>IF(LEFT(G23,1)=" "," n/a",IF(G23&lt;5,100000*VLOOKUP(G23,'Hide - Calculation'!AQ:AS,3,FALSE)/$E$8,100000*((G23+1)*(1-1/(9*(G23+1))+1.96/(3*SQRT(G23+1)))^3)/$E$8))</f>
        <v>1637.3741372357497</v>
      </c>
      <c r="K23" s="216">
        <f>IF('Hide - Calculation'!N17="","",'Hide - Calculation'!N17)</f>
        <v>1696.191138567279</v>
      </c>
      <c r="L23" s="217">
        <f>'Hide - Calculation'!O17</f>
        <v>1812.1669120472948</v>
      </c>
      <c r="M23" s="170">
        <f>IF(ISBLANK('Hide - Calculation'!K17),"",'Hide - Calculation'!U17)</f>
        <v>448.807861328125</v>
      </c>
      <c r="N23" s="171"/>
      <c r="O23" s="172"/>
      <c r="P23" s="172"/>
      <c r="Q23" s="172"/>
      <c r="R23" s="173"/>
      <c r="S23" s="173"/>
      <c r="T23" s="173"/>
      <c r="U23" s="173"/>
      <c r="V23" s="173"/>
      <c r="W23" s="173"/>
      <c r="X23" s="173"/>
      <c r="Y23" s="173"/>
      <c r="Z23" s="174"/>
      <c r="AA23" s="170">
        <f>IF(ISBLANK('Hide - Calculation'!K17),"",'Hide - Calculation'!T17)</f>
        <v>3089.30419921875</v>
      </c>
      <c r="AB23" s="233" t="s">
        <v>26</v>
      </c>
      <c r="AC23" s="175" t="s">
        <v>508</v>
      </c>
    </row>
    <row r="24" spans="2:29" s="63" customFormat="1" ht="33.75" customHeight="1">
      <c r="B24" s="306"/>
      <c r="C24" s="137">
        <v>12</v>
      </c>
      <c r="D24" s="147" t="s">
        <v>495</v>
      </c>
      <c r="E24" s="85"/>
      <c r="F24" s="85"/>
      <c r="G24" s="118">
        <f>IF(VLOOKUP('Hide - Control'!A$3,'All practice data'!A:CA,C24+4,FALSE)=" "," ",VLOOKUP('Hide - Control'!A$3,'All practice data'!A:CA,C24+4,FALSE))</f>
        <v>128</v>
      </c>
      <c r="H24" s="119">
        <f>IF(VLOOKUP('Hide - Control'!A$3,'All practice data'!A:CA,C24+30,FALSE)=" "," ",VLOOKUP('Hide - Control'!A$3,'All practice data'!A:CA,C24+30,FALSE))</f>
        <v>0.8741472626</v>
      </c>
      <c r="I24" s="212">
        <f>IF(LEFT(VLOOKUP('Hide - Control'!A$3,'All practice data'!A:CA,C24+44,FALSE),1)=" "," n/a",VLOOKUP('Hide - Control'!A$3,'All practice data'!A:CA,C24+44,FALSE))</f>
        <v>0.7292800903</v>
      </c>
      <c r="J24" s="212">
        <f>IF(LEFT(VLOOKUP('Hide - Control'!A$3,'All practice data'!A:CA,C24+45,FALSE),1)=" "," n/a",VLOOKUP('Hide - Control'!A$3,'All practice data'!A:CA,C24+45,FALSE))</f>
        <v>1.039363937</v>
      </c>
      <c r="K24" s="152" t="s">
        <v>555</v>
      </c>
      <c r="L24" s="213">
        <v>1</v>
      </c>
      <c r="M24" s="152">
        <f>IF(ISBLANK('Hide - Calculation'!K18),"",'Hide - Calculation'!U18)</f>
        <v>0.1840011179447174</v>
      </c>
      <c r="N24" s="86"/>
      <c r="O24" s="87"/>
      <c r="P24" s="87"/>
      <c r="Q24" s="87"/>
      <c r="R24" s="84"/>
      <c r="S24" s="84"/>
      <c r="T24" s="84"/>
      <c r="U24" s="84"/>
      <c r="V24" s="84"/>
      <c r="W24" s="84"/>
      <c r="X24" s="84"/>
      <c r="Y24" s="84"/>
      <c r="Z24" s="88"/>
      <c r="AA24" s="152">
        <f>IF(ISBLANK('Hide - Calculation'!K18),"",'Hide - Calculation'!T18)</f>
        <v>1.472893238067627</v>
      </c>
      <c r="AB24" s="234" t="s">
        <v>26</v>
      </c>
      <c r="AC24" s="131" t="s">
        <v>508</v>
      </c>
    </row>
    <row r="25" spans="2:29" s="63" customFormat="1" ht="33.75" customHeight="1">
      <c r="B25" s="306"/>
      <c r="C25" s="137">
        <v>13</v>
      </c>
      <c r="D25" s="147" t="s">
        <v>334</v>
      </c>
      <c r="E25" s="85"/>
      <c r="F25" s="85"/>
      <c r="G25" s="118">
        <f>IF(VLOOKUP('Hide - Control'!A$3,'All practice data'!A:CA,C25+4,FALSE)=" "," ",VLOOKUP('Hide - Control'!A$3,'All practice data'!A:CA,C25+4,FALSE))</f>
        <v>17</v>
      </c>
      <c r="H25" s="119">
        <f>IF(VLOOKUP('Hide - Control'!A$3,'All practice data'!A:CA,C25+30,FALSE)=" "," ",VLOOKUP('Hide - Control'!A$3,'All practice data'!A:CA,C25+30,FALSE))</f>
        <v>0.1328125</v>
      </c>
      <c r="I25" s="120">
        <f>IF(LEFT(G25,1)=" "," n/a",IF(G25=0," n/a",+((2*G25+1.96^2-1.96*SQRT(1.96^2+4*G25*(1-G25/G23)))/(2*(G23+1.96^2)))))</f>
        <v>0.08460158144609937</v>
      </c>
      <c r="J25" s="120">
        <f>IF(LEFT(G25,1)=" "," n/a",IF(G25=0," n/a",+((2*G25+1.96^2+1.96*SQRT(1.96^2+4*G25*(1-G25/G23)))/(2*(G23+1.96^2)))))</f>
        <v>0.2024216342915737</v>
      </c>
      <c r="K25" s="125">
        <f>IF('Hide - Calculation'!N19="","",'Hide - Calculation'!N19)</f>
        <v>0.12686927158707187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0.5384615659713745</v>
      </c>
      <c r="AB25" s="234" t="s">
        <v>26</v>
      </c>
      <c r="AC25" s="131" t="s">
        <v>508</v>
      </c>
    </row>
    <row r="26" spans="2:29" s="63" customFormat="1" ht="33.75" customHeight="1">
      <c r="B26" s="306"/>
      <c r="C26" s="137">
        <v>14</v>
      </c>
      <c r="D26" s="147" t="s">
        <v>478</v>
      </c>
      <c r="E26" s="85"/>
      <c r="F26" s="85"/>
      <c r="G26" s="121">
        <f>IF(VLOOKUP('Hide - Control'!A$3,'All practice data'!A:CA,C26+4,FALSE)=" "," ",VLOOKUP('Hide - Control'!A$3,'All practice data'!A:CA,C26+4,FALSE))</f>
        <v>36</v>
      </c>
      <c r="H26" s="119">
        <f>IF(VLOOKUP('Hide - Control'!A$3,'All practice data'!A:CA,C26+30,FALSE)=" "," ",VLOOKUP('Hide - Control'!A$3,'All practice data'!A:CA,C26+30,FALSE))</f>
        <v>0.4722222222222222</v>
      </c>
      <c r="I26" s="120">
        <f>IF(OR(LEFT(G26,1)=" ",LEFT(G25,1)=" ")," n/a",IF(G26=0," n/a",+((2*G25+1.96^2-1.96*SQRT(1.96^2+4*G25*(1-G25/G26)))/(2*(G26+1.96^2)))))</f>
        <v>0.31985792907209337</v>
      </c>
      <c r="J26" s="120">
        <f>IF(OR(LEFT(G26,1)=" ",LEFT(G25,1)=" ")," n/a",IF(G26=0," n/a",+((2*G25+1.96^2+1.96*SQRT(1.96^2+4*G25*(1-G25/G26)))/(2*(G26+1.96^2)))))</f>
        <v>0.6299432837306053</v>
      </c>
      <c r="K26" s="125">
        <f>IF('Hide - Calculation'!N20="","",'Hide - Calculation'!N20)</f>
        <v>0.47760290556900725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0.75</v>
      </c>
      <c r="AB26" s="234" t="s">
        <v>26</v>
      </c>
      <c r="AC26" s="131" t="s">
        <v>508</v>
      </c>
    </row>
    <row r="27" spans="2:29" s="63" customFormat="1" ht="33.75" customHeight="1">
      <c r="B27" s="306"/>
      <c r="C27" s="137">
        <v>15</v>
      </c>
      <c r="D27" s="147" t="s">
        <v>465</v>
      </c>
      <c r="E27" s="85"/>
      <c r="F27" s="85"/>
      <c r="G27" s="121">
        <f>IF(VLOOKUP('Hide - Control'!A$3,'All practice data'!A:CA,C27+4,FALSE)=" "," ",VLOOKUP('Hide - Control'!A$3,'All practice data'!A:CA,C27+4,FALSE))</f>
        <v>42</v>
      </c>
      <c r="H27" s="122">
        <f>IF(VLOOKUP('Hide - Control'!A$3,'All practice data'!A:CA,C27+30,FALSE)=" "," ",VLOOKUP('Hide - Control'!A$3,'All practice data'!A:CA,C27+30,FALSE))</f>
        <v>451.8558364712211</v>
      </c>
      <c r="I27" s="123">
        <f>IF(LEFT(G27,1)=" "," n/a",IF(G27&lt;5,100000*VLOOKUP(G27,'Hide - Calculation'!AQ:AR,2,FALSE)/$E$8,100000*(G27*(1-1/(9*G27)-1.96/(3*SQRT(G27)))^3)/$E$8))</f>
        <v>325.6216199845028</v>
      </c>
      <c r="J27" s="123">
        <f>IF(LEFT(G27,1)=" "," n/a",IF(G27&lt;5,100000*VLOOKUP(G27,'Hide - Calculation'!AQ:AS,3,FALSE)/$E$8,100000*((G27+1)*(1-1/(9*(G27+1))+1.96/(3*SQRT(G27+1)))^3)/$E$8))</f>
        <v>610.796374105944</v>
      </c>
      <c r="K27" s="122">
        <f>IF('Hide - Calculation'!N21="","",'Hide - Calculation'!N21)</f>
        <v>406.3876501793288</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778.8162231445312</v>
      </c>
      <c r="AB27" s="234" t="s">
        <v>26</v>
      </c>
      <c r="AC27" s="131" t="s">
        <v>508</v>
      </c>
    </row>
    <row r="28" spans="2:29" s="63" customFormat="1" ht="33.75" customHeight="1">
      <c r="B28" s="306"/>
      <c r="C28" s="137">
        <v>16</v>
      </c>
      <c r="D28" s="147" t="s">
        <v>466</v>
      </c>
      <c r="E28" s="85"/>
      <c r="F28" s="85"/>
      <c r="G28" s="121">
        <f>IF(VLOOKUP('Hide - Control'!A$3,'All practice data'!A:CA,C28+4,FALSE)=" "," ",VLOOKUP('Hide - Control'!A$3,'All practice data'!A:CA,C28+4,FALSE))</f>
        <v>13</v>
      </c>
      <c r="H28" s="122">
        <f>IF(VLOOKUP('Hide - Control'!A$3,'All practice data'!A:CA,C28+30,FALSE)=" "," ",VLOOKUP('Hide - Control'!A$3,'All practice data'!A:CA,C28+30,FALSE))</f>
        <v>139.86013986013987</v>
      </c>
      <c r="I28" s="123">
        <f>IF(LEFT(G28,1)=" "," n/a",IF(G28&lt;5,100000*VLOOKUP(G28,'Hide - Calculation'!AQ:AR,2,FALSE)/$E$8,100000*(G28*(1-1/(9*G28)-1.96/(3*SQRT(G28)))^3)/$E$8))</f>
        <v>74.39651095497071</v>
      </c>
      <c r="J28" s="123">
        <f>IF(LEFT(G28,1)=" "," n/a",IF(G28&lt;5,100000*VLOOKUP(G28,'Hide - Calculation'!AQ:AS,3,FALSE)/$E$8,100000*((G28+1)*(1-1/(9*(G28+1))+1.96/(3*SQRT(G28+1)))^3)/$E$8))</f>
        <v>239.18139248254306</v>
      </c>
      <c r="K28" s="122">
        <f>IF('Hide - Calculation'!N22="","",'Hide - Calculation'!N22)</f>
        <v>247.10551078018247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567.0103149414062</v>
      </c>
      <c r="AB28" s="234" t="s">
        <v>26</v>
      </c>
      <c r="AC28" s="131" t="s">
        <v>508</v>
      </c>
    </row>
    <row r="29" spans="2:29" s="63" customFormat="1" ht="33.75" customHeight="1">
      <c r="B29" s="306"/>
      <c r="C29" s="137">
        <v>17</v>
      </c>
      <c r="D29" s="147" t="s">
        <v>467</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58.63982871715147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130.14671325683594</v>
      </c>
      <c r="AB29" s="234" t="s">
        <v>26</v>
      </c>
      <c r="AC29" s="131" t="s">
        <v>508</v>
      </c>
    </row>
    <row r="30" spans="2:29" s="63" customFormat="1" ht="33.75" customHeight="1" thickBot="1">
      <c r="B30" s="309"/>
      <c r="C30" s="180">
        <v>18</v>
      </c>
      <c r="D30" s="181" t="s">
        <v>468</v>
      </c>
      <c r="E30" s="182"/>
      <c r="F30" s="182"/>
      <c r="G30" s="183">
        <f>IF(VLOOKUP('Hide - Control'!A$3,'All practice data'!A:CA,C30+4,FALSE)=" "," ",VLOOKUP('Hide - Control'!A$3,'All practice data'!A:CA,C30+4,FALSE))</f>
        <v>13</v>
      </c>
      <c r="H30" s="184">
        <f>IF(VLOOKUP('Hide - Control'!A$3,'All practice data'!A:CA,C30+30,FALSE)=" "," ",VLOOKUP('Hide - Control'!A$3,'All practice data'!A:CA,C30+30,FALSE))</f>
        <v>139.86013986013987</v>
      </c>
      <c r="I30" s="185">
        <f>IF(LEFT(G30,1)=" "," n/a",IF(G30&lt;5,100000*VLOOKUP(G30,'Hide - Calculation'!AQ:AR,2,FALSE)/$E$8,100000*(G30*(1-1/(9*G30)-1.96/(3*SQRT(G30)))^3)/$E$8))</f>
        <v>74.39651095497071</v>
      </c>
      <c r="J30" s="185">
        <f>IF(LEFT(G30,1)=" "," n/a",IF(G30&lt;5,100000*VLOOKUP(G30,'Hide - Calculation'!AQ:AS,3,FALSE)/$E$8,100000*((G30+1)*(1-1/(9*(G30+1))+1.96/(3*SQRT(G30+1)))^3)/$E$8))</f>
        <v>239.18139248254306</v>
      </c>
      <c r="K30" s="184">
        <f>IF('Hide - Calculation'!N24="","",'Hide - Calculation'!N24)</f>
        <v>287.7442757981153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972.0272216796875</v>
      </c>
      <c r="AB30" s="235" t="s">
        <v>26</v>
      </c>
      <c r="AC30" s="189" t="s">
        <v>508</v>
      </c>
    </row>
    <row r="31" spans="2:29" s="63" customFormat="1" ht="33.75" customHeight="1">
      <c r="B31" s="304" t="s">
        <v>336</v>
      </c>
      <c r="C31" s="163">
        <v>19</v>
      </c>
      <c r="D31" s="164" t="s">
        <v>340</v>
      </c>
      <c r="E31" s="165"/>
      <c r="F31" s="165"/>
      <c r="G31" s="166">
        <f>IF(VLOOKUP('Hide - Control'!A$3,'All practice data'!A:CA,C31+4,FALSE)=" "," ",VLOOKUP('Hide - Control'!A$3,'All practice data'!A:CA,C31+4,FALSE))</f>
        <v>36</v>
      </c>
      <c r="H31" s="167">
        <f>IF(VLOOKUP('Hide - Control'!A$3,'All practice data'!A:CA,C31+30,FALSE)=" "," ",VLOOKUP('Hide - Control'!A$3,'All practice data'!A:CA,C31+30,FALSE))</f>
        <v>387.30500268961805</v>
      </c>
      <c r="I31" s="168">
        <f>IF(LEFT(G31,1)=" "," n/a",IF(G31&lt;5,100000*VLOOKUP(G31,'Hide - Calculation'!AQ:AR,2,FALSE)/$E$8,100000*(G31*(1-1/(9*G31)-1.96/(3*SQRT(G31)))^3)/$E$8))</f>
        <v>271.2240713767582</v>
      </c>
      <c r="J31" s="168">
        <f>IF(LEFT(G31,1)=" "," n/a",IF(G31&lt;5,100000*VLOOKUP(G31,'Hide - Calculation'!AQ:AS,3,FALSE)/$E$8,100000*((G31+1)*(1-1/(9*(G31+1))+1.96/(3*SQRT(G31+1)))^3)/$E$8))</f>
        <v>536.2121351395238</v>
      </c>
      <c r="K31" s="167">
        <f>IF('Hide - Calculation'!N25="","",'Hide - Calculation'!N25)</f>
        <v>589.6712078440999</v>
      </c>
      <c r="L31" s="169">
        <f>'Hide - Calculation'!O25</f>
        <v>562.6134400960308</v>
      </c>
      <c r="M31" s="170">
        <f>IF(ISBLANK('Hide - Calculation'!K25),"",'Hide - Calculation'!U25)</f>
        <v>233.281494140625</v>
      </c>
      <c r="N31" s="171"/>
      <c r="O31" s="172"/>
      <c r="P31" s="172"/>
      <c r="Q31" s="172"/>
      <c r="R31" s="173"/>
      <c r="S31" s="173"/>
      <c r="T31" s="173"/>
      <c r="U31" s="173"/>
      <c r="V31" s="173"/>
      <c r="W31" s="173"/>
      <c r="X31" s="173"/>
      <c r="Y31" s="173"/>
      <c r="Z31" s="174"/>
      <c r="AA31" s="170">
        <f>IF(ISBLANK('Hide - Calculation'!K25),"",'Hide - Calculation'!T25)</f>
        <v>1065.2921142578125</v>
      </c>
      <c r="AB31" s="233" t="s">
        <v>47</v>
      </c>
      <c r="AC31" s="175" t="s">
        <v>508</v>
      </c>
    </row>
    <row r="32" spans="2:29" s="63" customFormat="1" ht="33.75" customHeight="1">
      <c r="B32" s="305"/>
      <c r="C32" s="137">
        <v>20</v>
      </c>
      <c r="D32" s="132" t="s">
        <v>341</v>
      </c>
      <c r="E32" s="85"/>
      <c r="F32" s="85"/>
      <c r="G32" s="121">
        <f>IF(VLOOKUP('Hide - Control'!A$3,'All practice data'!A:CA,C32+4,FALSE)=" "," ",VLOOKUP('Hide - Control'!A$3,'All practice data'!A:CA,C32+4,FALSE))</f>
        <v>37</v>
      </c>
      <c r="H32" s="122">
        <f>IF(VLOOKUP('Hide - Control'!A$3,'All practice data'!A:CA,C32+30,FALSE)=" "," ",VLOOKUP('Hide - Control'!A$3,'All practice data'!A:CA,C32+30,FALSE))</f>
        <v>398.0634749865519</v>
      </c>
      <c r="I32" s="123">
        <f>IF(LEFT(G32,1)=" "," n/a",IF(G32&lt;5,100000*VLOOKUP(G32,'Hide - Calculation'!AQ:AR,2,FALSE)/$E$8,100000*(G32*(1-1/(9*G32)-1.96/(3*SQRT(G32)))^3)/$E$8))</f>
        <v>280.2344394393368</v>
      </c>
      <c r="J32" s="123">
        <f>IF(LEFT(G32,1)=" "," n/a",IF(G32&lt;5,100000*VLOOKUP(G32,'Hide - Calculation'!AQ:AS,3,FALSE)/$E$8,100000*((G32+1)*(1-1/(9*(G32+1))+1.96/(3*SQRT(G32+1)))^3)/$E$8))</f>
        <v>548.6967910380959</v>
      </c>
      <c r="K32" s="122">
        <f>IF('Hide - Calculation'!N26="","",'Hide - Calculation'!N26)</f>
        <v>543.577575038525</v>
      </c>
      <c r="L32" s="156">
        <f>'Hide - Calculation'!O26</f>
        <v>405.57105879375996</v>
      </c>
      <c r="M32" s="148">
        <f>IF(ISBLANK('Hide - Calculation'!K26),"",'Hide - Calculation'!U26)</f>
        <v>282.3719177246094</v>
      </c>
      <c r="N32" s="86"/>
      <c r="O32" s="87"/>
      <c r="P32" s="87"/>
      <c r="Q32" s="87"/>
      <c r="R32" s="84"/>
      <c r="S32" s="84"/>
      <c r="T32" s="84"/>
      <c r="U32" s="84"/>
      <c r="V32" s="84"/>
      <c r="W32" s="84"/>
      <c r="X32" s="84"/>
      <c r="Y32" s="84"/>
      <c r="Z32" s="88"/>
      <c r="AA32" s="148">
        <f>IF(ISBLANK('Hide - Calculation'!K26),"",'Hide - Calculation'!T26)</f>
        <v>1074.21875</v>
      </c>
      <c r="AB32" s="234" t="s">
        <v>47</v>
      </c>
      <c r="AC32" s="131" t="s">
        <v>508</v>
      </c>
    </row>
    <row r="33" spans="2:29" s="63" customFormat="1" ht="33.75" customHeight="1">
      <c r="B33" s="305"/>
      <c r="C33" s="137">
        <v>21</v>
      </c>
      <c r="D33" s="132" t="s">
        <v>343</v>
      </c>
      <c r="E33" s="85"/>
      <c r="F33" s="85"/>
      <c r="G33" s="121">
        <f>IF(VLOOKUP('Hide - Control'!A$3,'All practice data'!A:CA,C33+4,FALSE)=" "," ",VLOOKUP('Hide - Control'!A$3,'All practice data'!A:CA,C33+4,FALSE))</f>
        <v>108</v>
      </c>
      <c r="H33" s="122">
        <f>IF(VLOOKUP('Hide - Control'!A$3,'All practice data'!A:CA,C33+30,FALSE)=" "," ",VLOOKUP('Hide - Control'!A$3,'All practice data'!A:CA,C33+30,FALSE))</f>
        <v>1161.9150080688541</v>
      </c>
      <c r="I33" s="123">
        <f>IF(LEFT(G33,1)=" "," n/a",IF(G33&lt;5,100000*VLOOKUP(G33,'Hide - Calculation'!AQ:AR,2,FALSE)/$E$8,100000*(G33*(1-1/(9*G33)-1.96/(3*SQRT(G33)))^3)/$E$8))</f>
        <v>953.118485757124</v>
      </c>
      <c r="J33" s="123">
        <f>IF(LEFT(G33,1)=" "," n/a",IF(G33&lt;5,100000*VLOOKUP(G33,'Hide - Calculation'!AQ:AS,3,FALSE)/$E$8,100000*((G33+1)*(1-1/(9*(G33+1))+1.96/(3*SQRT(G33+1)))^3)/$E$8))</f>
        <v>1402.8429130586328</v>
      </c>
      <c r="K33" s="122">
        <f>IF('Hide - Calculation'!N27="","",'Hide - Calculation'!N27)</f>
        <v>1338.897298476728</v>
      </c>
      <c r="L33" s="156">
        <f>'Hide - Calculation'!O27</f>
        <v>1059.3522061277838</v>
      </c>
      <c r="M33" s="148">
        <f>IF(ISBLANK('Hide - Calculation'!K27),"",'Hide - Calculation'!U27)</f>
        <v>986.5684204101562</v>
      </c>
      <c r="N33" s="86"/>
      <c r="O33" s="87"/>
      <c r="P33" s="87"/>
      <c r="Q33" s="87"/>
      <c r="R33" s="84"/>
      <c r="S33" s="84"/>
      <c r="T33" s="84"/>
      <c r="U33" s="84"/>
      <c r="V33" s="84"/>
      <c r="W33" s="84"/>
      <c r="X33" s="84"/>
      <c r="Y33" s="84"/>
      <c r="Z33" s="88"/>
      <c r="AA33" s="148">
        <f>IF(ISBLANK('Hide - Calculation'!K27),"",'Hide - Calculation'!T27)</f>
        <v>2341.772216796875</v>
      </c>
      <c r="AB33" s="234" t="s">
        <v>47</v>
      </c>
      <c r="AC33" s="131" t="s">
        <v>508</v>
      </c>
    </row>
    <row r="34" spans="2:29" s="63" customFormat="1" ht="33.75" customHeight="1">
      <c r="B34" s="305"/>
      <c r="C34" s="137">
        <v>22</v>
      </c>
      <c r="D34" s="132" t="s">
        <v>342</v>
      </c>
      <c r="E34" s="85"/>
      <c r="F34" s="85"/>
      <c r="G34" s="118">
        <f>IF(VLOOKUP('Hide - Control'!A$3,'All practice data'!A:CA,C34+4,FALSE)=" "," ",VLOOKUP('Hide - Control'!A$3,'All practice data'!A:CA,C34+4,FALSE))</f>
        <v>60</v>
      </c>
      <c r="H34" s="122">
        <f>IF(VLOOKUP('Hide - Control'!A$3,'All practice data'!A:CA,C34+30,FALSE)=" "," ",VLOOKUP('Hide - Control'!A$3,'All practice data'!A:CA,C34+30,FALSE))</f>
        <v>645.5083378160301</v>
      </c>
      <c r="I34" s="123">
        <f>IF(LEFT(G34,1)=" "," n/a",IF(G34&lt;5,100000*VLOOKUP(G34,'Hide - Calculation'!AQ:AR,2,FALSE)/$E$8,100000*(G34*(1-1/(9*G34)-1.96/(3*SQRT(G34)))^3)/$E$8))</f>
        <v>492.56080216515767</v>
      </c>
      <c r="J34" s="123">
        <f>IF(LEFT(G34,1)=" "," n/a",IF(G34&lt;5,100000*VLOOKUP(G34,'Hide - Calculation'!AQ:AS,3,FALSE)/$E$8,100000*((G34+1)*(1-1/(9*(G34+1))+1.96/(3*SQRT(G34+1)))^3)/$E$8))</f>
        <v>830.9150420184634</v>
      </c>
      <c r="K34" s="122">
        <f>IF('Hide - Calculation'!N28="","",'Hide - Calculation'!N28)</f>
        <v>752.4990113052135</v>
      </c>
      <c r="L34" s="156">
        <f>'Hide - Calculation'!O28</f>
        <v>582.9390489900089</v>
      </c>
      <c r="M34" s="148">
        <f>IF(ISBLANK('Hide - Calculation'!K28),"",'Hide - Calculation'!U28)</f>
        <v>374.4205322265625</v>
      </c>
      <c r="N34" s="86"/>
      <c r="O34" s="87"/>
      <c r="P34" s="87"/>
      <c r="Q34" s="87"/>
      <c r="R34" s="84"/>
      <c r="S34" s="84"/>
      <c r="T34" s="84"/>
      <c r="U34" s="84"/>
      <c r="V34" s="84"/>
      <c r="W34" s="84"/>
      <c r="X34" s="84"/>
      <c r="Y34" s="84"/>
      <c r="Z34" s="88"/>
      <c r="AA34" s="148">
        <f>IF(ISBLANK('Hide - Calculation'!K28),"",'Hide - Calculation'!T28)</f>
        <v>1615.3458251953125</v>
      </c>
      <c r="AB34" s="234" t="s">
        <v>47</v>
      </c>
      <c r="AC34" s="131" t="s">
        <v>508</v>
      </c>
    </row>
    <row r="35" spans="2:29" s="63" customFormat="1" ht="33.75" customHeight="1">
      <c r="B35" s="305"/>
      <c r="C35" s="137">
        <v>23</v>
      </c>
      <c r="D35" s="138" t="s">
        <v>469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328</v>
      </c>
      <c r="AC35" s="131">
        <v>2008</v>
      </c>
    </row>
    <row r="36" spans="2:29" ht="33.75" customHeight="1">
      <c r="B36" s="306"/>
      <c r="C36" s="137">
        <v>24</v>
      </c>
      <c r="D36" s="224" t="s">
        <v>470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328</v>
      </c>
      <c r="AC36" s="131">
        <v>2008</v>
      </c>
    </row>
    <row r="37" spans="2:29" ht="33.75" customHeight="1" thickBot="1">
      <c r="B37" s="307"/>
      <c r="C37" s="176">
        <v>25</v>
      </c>
      <c r="D37" s="177" t="s">
        <v>344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328</v>
      </c>
      <c r="AC37" s="149">
        <v>2008</v>
      </c>
    </row>
    <row r="38" spans="2:29" ht="16.5" customHeight="1">
      <c r="B38" s="69"/>
      <c r="C38" s="69"/>
      <c r="D38" s="65" t="s">
        <v>326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554</v>
      </c>
      <c r="C39" s="244"/>
      <c r="D39" s="244"/>
      <c r="E39" s="303" t="s">
        <v>558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494</v>
      </c>
      <c r="BE2" s="341"/>
      <c r="BF2" s="341"/>
      <c r="BG2" s="341"/>
      <c r="BH2" s="341"/>
      <c r="BI2" s="341"/>
      <c r="BJ2" s="342"/>
    </row>
    <row r="3" spans="1:82" s="72" customFormat="1" ht="76.5" customHeight="1">
      <c r="A3" s="266" t="s">
        <v>276</v>
      </c>
      <c r="B3" s="275" t="s">
        <v>277</v>
      </c>
      <c r="C3" s="276" t="s">
        <v>49</v>
      </c>
      <c r="D3" s="274" t="s">
        <v>479</v>
      </c>
      <c r="E3" s="267" t="s">
        <v>351</v>
      </c>
      <c r="F3" s="267" t="s">
        <v>462</v>
      </c>
      <c r="G3" s="267" t="s">
        <v>353</v>
      </c>
      <c r="H3" s="267" t="s">
        <v>354</v>
      </c>
      <c r="I3" s="267" t="s">
        <v>355</v>
      </c>
      <c r="J3" s="267" t="s">
        <v>503</v>
      </c>
      <c r="K3" s="267" t="s">
        <v>504</v>
      </c>
      <c r="L3" s="267" t="s">
        <v>505</v>
      </c>
      <c r="M3" s="267" t="s">
        <v>356</v>
      </c>
      <c r="N3" s="267" t="s">
        <v>357</v>
      </c>
      <c r="O3" s="267" t="s">
        <v>358</v>
      </c>
      <c r="P3" s="267" t="s">
        <v>493</v>
      </c>
      <c r="Q3" s="267" t="s">
        <v>359</v>
      </c>
      <c r="R3" s="267" t="s">
        <v>360</v>
      </c>
      <c r="S3" s="267" t="s">
        <v>361</v>
      </c>
      <c r="T3" s="267" t="s">
        <v>362</v>
      </c>
      <c r="U3" s="267" t="s">
        <v>363</v>
      </c>
      <c r="V3" s="267" t="s">
        <v>364</v>
      </c>
      <c r="W3" s="267" t="s">
        <v>365</v>
      </c>
      <c r="X3" s="267" t="s">
        <v>366</v>
      </c>
      <c r="Y3" s="267" t="s">
        <v>367</v>
      </c>
      <c r="Z3" s="267" t="s">
        <v>368</v>
      </c>
      <c r="AA3" s="267" t="s">
        <v>369</v>
      </c>
      <c r="AB3" s="267" t="s">
        <v>370</v>
      </c>
      <c r="AC3" s="267" t="s">
        <v>371</v>
      </c>
      <c r="AD3" s="268" t="s">
        <v>372</v>
      </c>
      <c r="AE3" s="268" t="s">
        <v>351</v>
      </c>
      <c r="AF3" s="269" t="s">
        <v>352</v>
      </c>
      <c r="AG3" s="268" t="s">
        <v>353</v>
      </c>
      <c r="AH3" s="268" t="s">
        <v>354</v>
      </c>
      <c r="AI3" s="268" t="s">
        <v>355</v>
      </c>
      <c r="AJ3" s="268" t="s">
        <v>503</v>
      </c>
      <c r="AK3" s="268" t="s">
        <v>504</v>
      </c>
      <c r="AL3" s="268" t="s">
        <v>505</v>
      </c>
      <c r="AM3" s="268" t="s">
        <v>356</v>
      </c>
      <c r="AN3" s="268" t="s">
        <v>357</v>
      </c>
      <c r="AO3" s="268" t="s">
        <v>358</v>
      </c>
      <c r="AP3" s="268" t="s">
        <v>493</v>
      </c>
      <c r="AQ3" s="268" t="s">
        <v>359</v>
      </c>
      <c r="AR3" s="268" t="s">
        <v>360</v>
      </c>
      <c r="AS3" s="268" t="s">
        <v>361</v>
      </c>
      <c r="AT3" s="268" t="s">
        <v>362</v>
      </c>
      <c r="AU3" s="268" t="s">
        <v>363</v>
      </c>
      <c r="AV3" s="268" t="s">
        <v>364</v>
      </c>
      <c r="AW3" s="268" t="s">
        <v>365</v>
      </c>
      <c r="AX3" s="268" t="s">
        <v>366</v>
      </c>
      <c r="AY3" s="270" t="s">
        <v>367</v>
      </c>
      <c r="AZ3" s="271" t="s">
        <v>368</v>
      </c>
      <c r="BA3" s="271" t="s">
        <v>369</v>
      </c>
      <c r="BB3" s="271" t="s">
        <v>370</v>
      </c>
      <c r="BC3" s="272" t="s">
        <v>371</v>
      </c>
      <c r="BD3" s="273" t="s">
        <v>491</v>
      </c>
      <c r="BE3" s="273" t="s">
        <v>492</v>
      </c>
      <c r="BF3" s="273" t="s">
        <v>499</v>
      </c>
      <c r="BG3" s="273" t="s">
        <v>500</v>
      </c>
      <c r="BH3" s="273" t="s">
        <v>498</v>
      </c>
      <c r="BI3" s="273" t="s">
        <v>501</v>
      </c>
      <c r="BJ3" s="273" t="s">
        <v>502</v>
      </c>
      <c r="BK3" s="73"/>
      <c r="BL3" s="73"/>
      <c r="BM3" s="73"/>
      <c r="BN3" s="73"/>
      <c r="BO3" s="73"/>
      <c r="BP3" s="73"/>
      <c r="BQ3" s="73"/>
      <c r="BR3" s="73"/>
      <c r="BS3" s="73"/>
      <c r="BT3" s="73"/>
      <c r="BU3" s="73"/>
      <c r="BV3" s="73"/>
      <c r="BW3" s="73"/>
      <c r="BX3" s="73"/>
      <c r="BY3" s="73"/>
      <c r="BZ3" s="73"/>
      <c r="CA3" s="73"/>
      <c r="CB3" s="73"/>
      <c r="CC3" s="73"/>
      <c r="CD3" s="73"/>
    </row>
    <row r="4" spans="1:66" ht="12.75">
      <c r="A4" s="79" t="s">
        <v>511</v>
      </c>
      <c r="B4" s="79" t="s">
        <v>282</v>
      </c>
      <c r="C4" s="79" t="s">
        <v>270</v>
      </c>
      <c r="D4" s="99">
        <v>9295</v>
      </c>
      <c r="E4" s="99">
        <v>1179</v>
      </c>
      <c r="F4" s="99" t="s">
        <v>348</v>
      </c>
      <c r="G4" s="99">
        <v>32</v>
      </c>
      <c r="H4" s="99">
        <v>23</v>
      </c>
      <c r="I4" s="99">
        <v>109</v>
      </c>
      <c r="J4" s="99">
        <v>573</v>
      </c>
      <c r="K4" s="99">
        <v>533</v>
      </c>
      <c r="L4" s="99">
        <v>1550</v>
      </c>
      <c r="M4" s="99">
        <v>351</v>
      </c>
      <c r="N4" s="99">
        <v>180</v>
      </c>
      <c r="O4" s="99">
        <v>128</v>
      </c>
      <c r="P4" s="159">
        <v>128</v>
      </c>
      <c r="Q4" s="99">
        <v>17</v>
      </c>
      <c r="R4" s="99">
        <v>36</v>
      </c>
      <c r="S4" s="99">
        <v>42</v>
      </c>
      <c r="T4" s="99">
        <v>13</v>
      </c>
      <c r="U4" s="99" t="s">
        <v>557</v>
      </c>
      <c r="V4" s="99">
        <v>13</v>
      </c>
      <c r="W4" s="99">
        <v>36</v>
      </c>
      <c r="X4" s="99">
        <v>37</v>
      </c>
      <c r="Y4" s="99">
        <v>108</v>
      </c>
      <c r="Z4" s="99">
        <v>60</v>
      </c>
      <c r="AA4" s="99" t="s">
        <v>557</v>
      </c>
      <c r="AB4" s="99" t="s">
        <v>557</v>
      </c>
      <c r="AC4" s="99" t="s">
        <v>557</v>
      </c>
      <c r="AD4" s="98" t="s">
        <v>326</v>
      </c>
      <c r="AE4" s="100">
        <v>0.1268423883808499</v>
      </c>
      <c r="AF4" s="100">
        <v>0.12</v>
      </c>
      <c r="AG4" s="98">
        <v>344.2711135018827</v>
      </c>
      <c r="AH4" s="98">
        <v>247.4448628294782</v>
      </c>
      <c r="AI4" s="100">
        <v>0.012</v>
      </c>
      <c r="AJ4" s="100">
        <v>0.688702</v>
      </c>
      <c r="AK4" s="100">
        <v>0.671285</v>
      </c>
      <c r="AL4" s="100">
        <v>0.679229</v>
      </c>
      <c r="AM4" s="100">
        <v>0.484807</v>
      </c>
      <c r="AN4" s="100">
        <v>0.571429</v>
      </c>
      <c r="AO4" s="98">
        <v>1377.084454007531</v>
      </c>
      <c r="AP4" s="158">
        <v>0.8741472626</v>
      </c>
      <c r="AQ4" s="100">
        <v>0.1328125</v>
      </c>
      <c r="AR4" s="100">
        <v>0.4722222222222222</v>
      </c>
      <c r="AS4" s="98">
        <v>451.8558364712211</v>
      </c>
      <c r="AT4" s="98">
        <v>139.86013986013987</v>
      </c>
      <c r="AU4" s="98" t="s">
        <v>557</v>
      </c>
      <c r="AV4" s="98">
        <v>139.86013986013987</v>
      </c>
      <c r="AW4" s="98">
        <v>387.30500268961805</v>
      </c>
      <c r="AX4" s="98">
        <v>398.0634749865519</v>
      </c>
      <c r="AY4" s="98">
        <v>1161.9150080688541</v>
      </c>
      <c r="AZ4" s="98">
        <v>645.5083378160301</v>
      </c>
      <c r="BA4" s="100" t="s">
        <v>557</v>
      </c>
      <c r="BB4" s="100" t="s">
        <v>557</v>
      </c>
      <c r="BC4" s="100" t="s">
        <v>557</v>
      </c>
      <c r="BD4" s="158">
        <v>0.7292800903</v>
      </c>
      <c r="BE4" s="158">
        <v>1.039363937</v>
      </c>
      <c r="BF4" s="162">
        <v>832</v>
      </c>
      <c r="BG4" s="162">
        <v>794</v>
      </c>
      <c r="BH4" s="162">
        <v>2282</v>
      </c>
      <c r="BI4" s="162">
        <v>724</v>
      </c>
      <c r="BJ4" s="162">
        <v>315</v>
      </c>
      <c r="BK4" s="97"/>
      <c r="BL4" s="97"/>
      <c r="BM4" s="97"/>
      <c r="BN4" s="97"/>
    </row>
    <row r="5" spans="1:66" ht="12.75">
      <c r="A5" s="79" t="s">
        <v>517</v>
      </c>
      <c r="B5" s="79" t="s">
        <v>288</v>
      </c>
      <c r="C5" s="79" t="s">
        <v>270</v>
      </c>
      <c r="D5" s="99">
        <v>10907</v>
      </c>
      <c r="E5" s="99">
        <v>2290</v>
      </c>
      <c r="F5" s="99" t="s">
        <v>349</v>
      </c>
      <c r="G5" s="99">
        <v>58</v>
      </c>
      <c r="H5" s="99">
        <v>38</v>
      </c>
      <c r="I5" s="99">
        <v>249</v>
      </c>
      <c r="J5" s="99">
        <v>917</v>
      </c>
      <c r="K5" s="99">
        <v>19</v>
      </c>
      <c r="L5" s="99">
        <v>2020</v>
      </c>
      <c r="M5" s="99">
        <v>685</v>
      </c>
      <c r="N5" s="99">
        <v>312</v>
      </c>
      <c r="O5" s="99">
        <v>177</v>
      </c>
      <c r="P5" s="159">
        <v>177</v>
      </c>
      <c r="Q5" s="99">
        <v>22</v>
      </c>
      <c r="R5" s="99">
        <v>50</v>
      </c>
      <c r="S5" s="99">
        <v>44</v>
      </c>
      <c r="T5" s="99">
        <v>23</v>
      </c>
      <c r="U5" s="99">
        <v>7</v>
      </c>
      <c r="V5" s="99">
        <v>34</v>
      </c>
      <c r="W5" s="99">
        <v>63</v>
      </c>
      <c r="X5" s="99">
        <v>84</v>
      </c>
      <c r="Y5" s="99">
        <v>210</v>
      </c>
      <c r="Z5" s="99">
        <v>88</v>
      </c>
      <c r="AA5" s="99" t="s">
        <v>557</v>
      </c>
      <c r="AB5" s="99" t="s">
        <v>557</v>
      </c>
      <c r="AC5" s="99" t="s">
        <v>557</v>
      </c>
      <c r="AD5" s="98" t="s">
        <v>326</v>
      </c>
      <c r="AE5" s="100">
        <v>0.20995690840744477</v>
      </c>
      <c r="AF5" s="100">
        <v>0.14</v>
      </c>
      <c r="AG5" s="98">
        <v>531.7685889795545</v>
      </c>
      <c r="AH5" s="98">
        <v>348.40011002108736</v>
      </c>
      <c r="AI5" s="100">
        <v>0.023</v>
      </c>
      <c r="AJ5" s="100">
        <v>0.706471</v>
      </c>
      <c r="AK5" s="100">
        <v>0.513514</v>
      </c>
      <c r="AL5" s="100">
        <v>0.787832</v>
      </c>
      <c r="AM5" s="100">
        <v>0.571309</v>
      </c>
      <c r="AN5" s="100">
        <v>0.619048</v>
      </c>
      <c r="AO5" s="98">
        <v>1622.8110387824333</v>
      </c>
      <c r="AP5" s="158">
        <v>0.7948458862</v>
      </c>
      <c r="AQ5" s="100">
        <v>0.12429378531073447</v>
      </c>
      <c r="AR5" s="100">
        <v>0.44</v>
      </c>
      <c r="AS5" s="98">
        <v>403.4106537086275</v>
      </c>
      <c r="AT5" s="98">
        <v>210.87375080223708</v>
      </c>
      <c r="AU5" s="98">
        <v>64.17896763546347</v>
      </c>
      <c r="AV5" s="98">
        <v>311.726414229394</v>
      </c>
      <c r="AW5" s="98">
        <v>577.6107087191712</v>
      </c>
      <c r="AX5" s="98">
        <v>770.1476116255616</v>
      </c>
      <c r="AY5" s="98">
        <v>1925.369029063904</v>
      </c>
      <c r="AZ5" s="98">
        <v>806.821307417255</v>
      </c>
      <c r="BA5" s="100" t="s">
        <v>557</v>
      </c>
      <c r="BB5" s="100" t="s">
        <v>557</v>
      </c>
      <c r="BC5" s="100" t="s">
        <v>557</v>
      </c>
      <c r="BD5" s="158">
        <v>0.6820587921000001</v>
      </c>
      <c r="BE5" s="158">
        <v>0.9209572601000001</v>
      </c>
      <c r="BF5" s="162">
        <v>1298</v>
      </c>
      <c r="BG5" s="162">
        <v>37</v>
      </c>
      <c r="BH5" s="162">
        <v>2564</v>
      </c>
      <c r="BI5" s="162">
        <v>1199</v>
      </c>
      <c r="BJ5" s="162">
        <v>504</v>
      </c>
      <c r="BK5" s="97"/>
      <c r="BL5" s="97"/>
      <c r="BM5" s="97"/>
      <c r="BN5" s="97"/>
    </row>
    <row r="6" spans="1:66" ht="12.75">
      <c r="A6" s="79" t="s">
        <v>548</v>
      </c>
      <c r="B6" s="79" t="s">
        <v>323</v>
      </c>
      <c r="C6" s="79" t="s">
        <v>270</v>
      </c>
      <c r="D6" s="99">
        <v>2719</v>
      </c>
      <c r="E6" s="99">
        <v>366</v>
      </c>
      <c r="F6" s="99" t="s">
        <v>346</v>
      </c>
      <c r="G6" s="99">
        <v>14</v>
      </c>
      <c r="H6" s="99">
        <v>6</v>
      </c>
      <c r="I6" s="99">
        <v>32</v>
      </c>
      <c r="J6" s="99">
        <v>151</v>
      </c>
      <c r="K6" s="99">
        <v>144</v>
      </c>
      <c r="L6" s="99">
        <v>498</v>
      </c>
      <c r="M6" s="99">
        <v>121</v>
      </c>
      <c r="N6" s="99">
        <v>46</v>
      </c>
      <c r="O6" s="99">
        <v>37</v>
      </c>
      <c r="P6" s="159">
        <v>37</v>
      </c>
      <c r="Q6" s="99" t="s">
        <v>557</v>
      </c>
      <c r="R6" s="99">
        <v>8</v>
      </c>
      <c r="S6" s="99" t="s">
        <v>557</v>
      </c>
      <c r="T6" s="99" t="s">
        <v>557</v>
      </c>
      <c r="U6" s="99" t="s">
        <v>557</v>
      </c>
      <c r="V6" s="99">
        <v>10</v>
      </c>
      <c r="W6" s="99">
        <v>9</v>
      </c>
      <c r="X6" s="99">
        <v>11</v>
      </c>
      <c r="Y6" s="99">
        <v>39</v>
      </c>
      <c r="Z6" s="99">
        <v>15</v>
      </c>
      <c r="AA6" s="99" t="s">
        <v>557</v>
      </c>
      <c r="AB6" s="99" t="s">
        <v>557</v>
      </c>
      <c r="AC6" s="99" t="s">
        <v>557</v>
      </c>
      <c r="AD6" s="98" t="s">
        <v>326</v>
      </c>
      <c r="AE6" s="100">
        <v>0.13460831187936742</v>
      </c>
      <c r="AF6" s="100">
        <v>0.21</v>
      </c>
      <c r="AG6" s="98">
        <v>514.8951820522251</v>
      </c>
      <c r="AH6" s="98">
        <v>220.6693637366679</v>
      </c>
      <c r="AI6" s="100">
        <v>0.012</v>
      </c>
      <c r="AJ6" s="100">
        <v>0.618852</v>
      </c>
      <c r="AK6" s="100">
        <v>0.623377</v>
      </c>
      <c r="AL6" s="100">
        <v>0.683128</v>
      </c>
      <c r="AM6" s="100">
        <v>0.53304</v>
      </c>
      <c r="AN6" s="100">
        <v>0.547619</v>
      </c>
      <c r="AO6" s="98">
        <v>1360.794409709452</v>
      </c>
      <c r="AP6" s="158">
        <v>0.8200738525</v>
      </c>
      <c r="AQ6" s="100" t="s">
        <v>557</v>
      </c>
      <c r="AR6" s="100" t="s">
        <v>557</v>
      </c>
      <c r="AS6" s="98" t="s">
        <v>557</v>
      </c>
      <c r="AT6" s="98" t="s">
        <v>557</v>
      </c>
      <c r="AU6" s="98" t="s">
        <v>557</v>
      </c>
      <c r="AV6" s="98">
        <v>367.78227289444646</v>
      </c>
      <c r="AW6" s="98">
        <v>331.00404560500186</v>
      </c>
      <c r="AX6" s="98">
        <v>404.5605001838911</v>
      </c>
      <c r="AY6" s="98">
        <v>1434.3508642883412</v>
      </c>
      <c r="AZ6" s="98">
        <v>551.6734093416698</v>
      </c>
      <c r="BA6" s="100" t="s">
        <v>557</v>
      </c>
      <c r="BB6" s="100" t="s">
        <v>557</v>
      </c>
      <c r="BC6" s="100" t="s">
        <v>557</v>
      </c>
      <c r="BD6" s="158">
        <v>0.5774076462</v>
      </c>
      <c r="BE6" s="158">
        <v>1.130363693</v>
      </c>
      <c r="BF6" s="162">
        <v>244</v>
      </c>
      <c r="BG6" s="162">
        <v>231</v>
      </c>
      <c r="BH6" s="162">
        <v>729</v>
      </c>
      <c r="BI6" s="162">
        <v>227</v>
      </c>
      <c r="BJ6" s="162">
        <v>84</v>
      </c>
      <c r="BK6" s="97"/>
      <c r="BL6" s="97"/>
      <c r="BM6" s="97"/>
      <c r="BN6" s="97"/>
    </row>
    <row r="7" spans="1:66" ht="12.75">
      <c r="A7" s="79" t="s">
        <v>515</v>
      </c>
      <c r="B7" s="79" t="s">
        <v>286</v>
      </c>
      <c r="C7" s="79" t="s">
        <v>270</v>
      </c>
      <c r="D7" s="99">
        <v>11918</v>
      </c>
      <c r="E7" s="99">
        <v>1790</v>
      </c>
      <c r="F7" s="99" t="s">
        <v>348</v>
      </c>
      <c r="G7" s="99">
        <v>39</v>
      </c>
      <c r="H7" s="99">
        <v>31</v>
      </c>
      <c r="I7" s="99">
        <v>198</v>
      </c>
      <c r="J7" s="99">
        <v>1220</v>
      </c>
      <c r="K7" s="99">
        <v>15</v>
      </c>
      <c r="L7" s="99">
        <v>2410</v>
      </c>
      <c r="M7" s="99">
        <v>858</v>
      </c>
      <c r="N7" s="99">
        <v>384</v>
      </c>
      <c r="O7" s="99">
        <v>149</v>
      </c>
      <c r="P7" s="159">
        <v>149</v>
      </c>
      <c r="Q7" s="99">
        <v>19</v>
      </c>
      <c r="R7" s="99">
        <v>50</v>
      </c>
      <c r="S7" s="99">
        <v>49</v>
      </c>
      <c r="T7" s="99">
        <v>14</v>
      </c>
      <c r="U7" s="99">
        <v>6</v>
      </c>
      <c r="V7" s="99">
        <v>18</v>
      </c>
      <c r="W7" s="99">
        <v>49</v>
      </c>
      <c r="X7" s="99">
        <v>45</v>
      </c>
      <c r="Y7" s="99">
        <v>131</v>
      </c>
      <c r="Z7" s="99">
        <v>88</v>
      </c>
      <c r="AA7" s="99" t="s">
        <v>557</v>
      </c>
      <c r="AB7" s="99" t="s">
        <v>557</v>
      </c>
      <c r="AC7" s="99" t="s">
        <v>557</v>
      </c>
      <c r="AD7" s="98" t="s">
        <v>326</v>
      </c>
      <c r="AE7" s="100">
        <v>0.15019298540023493</v>
      </c>
      <c r="AF7" s="100">
        <v>0.11</v>
      </c>
      <c r="AG7" s="98">
        <v>327.23611344185264</v>
      </c>
      <c r="AH7" s="98">
        <v>260.11075683839573</v>
      </c>
      <c r="AI7" s="100">
        <v>0.017</v>
      </c>
      <c r="AJ7" s="100">
        <v>0.783055</v>
      </c>
      <c r="AK7" s="100">
        <v>0.555556</v>
      </c>
      <c r="AL7" s="100">
        <v>0.822245</v>
      </c>
      <c r="AM7" s="100">
        <v>0.632277</v>
      </c>
      <c r="AN7" s="100">
        <v>0.695652</v>
      </c>
      <c r="AO7" s="98">
        <v>1250.2097667393857</v>
      </c>
      <c r="AP7" s="158">
        <v>0.681333313</v>
      </c>
      <c r="AQ7" s="100">
        <v>0.12751677852348994</v>
      </c>
      <c r="AR7" s="100">
        <v>0.38</v>
      </c>
      <c r="AS7" s="98">
        <v>411.14280919617386</v>
      </c>
      <c r="AT7" s="98">
        <v>117.46937405604967</v>
      </c>
      <c r="AU7" s="98">
        <v>50.344017452592716</v>
      </c>
      <c r="AV7" s="98">
        <v>151.03205235777816</v>
      </c>
      <c r="AW7" s="98">
        <v>411.14280919617386</v>
      </c>
      <c r="AX7" s="98">
        <v>377.5801308944454</v>
      </c>
      <c r="AY7" s="98">
        <v>1099.1777143816078</v>
      </c>
      <c r="AZ7" s="98">
        <v>738.3789226380266</v>
      </c>
      <c r="BA7" s="100" t="s">
        <v>557</v>
      </c>
      <c r="BB7" s="100" t="s">
        <v>557</v>
      </c>
      <c r="BC7" s="100" t="s">
        <v>557</v>
      </c>
      <c r="BD7" s="158">
        <v>0.5763272858</v>
      </c>
      <c r="BE7" s="158">
        <v>0.799936676</v>
      </c>
      <c r="BF7" s="162">
        <v>1558</v>
      </c>
      <c r="BG7" s="162">
        <v>27</v>
      </c>
      <c r="BH7" s="162">
        <v>2931</v>
      </c>
      <c r="BI7" s="162">
        <v>1357</v>
      </c>
      <c r="BJ7" s="162">
        <v>552</v>
      </c>
      <c r="BK7" s="97"/>
      <c r="BL7" s="97"/>
      <c r="BM7" s="97"/>
      <c r="BN7" s="97"/>
    </row>
    <row r="8" spans="1:66" ht="12.75">
      <c r="A8" s="79" t="s">
        <v>530</v>
      </c>
      <c r="B8" s="79" t="s">
        <v>303</v>
      </c>
      <c r="C8" s="79" t="s">
        <v>270</v>
      </c>
      <c r="D8" s="99">
        <v>5943</v>
      </c>
      <c r="E8" s="99">
        <v>1217</v>
      </c>
      <c r="F8" s="99" t="s">
        <v>349</v>
      </c>
      <c r="G8" s="99">
        <v>55</v>
      </c>
      <c r="H8" s="99">
        <v>22</v>
      </c>
      <c r="I8" s="99">
        <v>112</v>
      </c>
      <c r="J8" s="99">
        <v>621</v>
      </c>
      <c r="K8" s="99">
        <v>565</v>
      </c>
      <c r="L8" s="99">
        <v>1010</v>
      </c>
      <c r="M8" s="99">
        <v>406</v>
      </c>
      <c r="N8" s="99">
        <v>158</v>
      </c>
      <c r="O8" s="99">
        <v>62</v>
      </c>
      <c r="P8" s="159">
        <v>62</v>
      </c>
      <c r="Q8" s="99">
        <v>14</v>
      </c>
      <c r="R8" s="99">
        <v>40</v>
      </c>
      <c r="S8" s="99">
        <v>15</v>
      </c>
      <c r="T8" s="99">
        <v>6</v>
      </c>
      <c r="U8" s="99" t="s">
        <v>557</v>
      </c>
      <c r="V8" s="99">
        <v>19</v>
      </c>
      <c r="W8" s="99">
        <v>36</v>
      </c>
      <c r="X8" s="99">
        <v>33</v>
      </c>
      <c r="Y8" s="99">
        <v>71</v>
      </c>
      <c r="Z8" s="99">
        <v>96</v>
      </c>
      <c r="AA8" s="99" t="s">
        <v>557</v>
      </c>
      <c r="AB8" s="99" t="s">
        <v>557</v>
      </c>
      <c r="AC8" s="99" t="s">
        <v>557</v>
      </c>
      <c r="AD8" s="98" t="s">
        <v>326</v>
      </c>
      <c r="AE8" s="100">
        <v>0.20477873128049806</v>
      </c>
      <c r="AF8" s="100">
        <v>0.17</v>
      </c>
      <c r="AG8" s="98">
        <v>925.4585226316675</v>
      </c>
      <c r="AH8" s="98">
        <v>370.183409052667</v>
      </c>
      <c r="AI8" s="100">
        <v>0.019</v>
      </c>
      <c r="AJ8" s="100">
        <v>0.800258</v>
      </c>
      <c r="AK8" s="100">
        <v>0.750332</v>
      </c>
      <c r="AL8" s="100">
        <v>0.735615</v>
      </c>
      <c r="AM8" s="100">
        <v>0.547908</v>
      </c>
      <c r="AN8" s="100">
        <v>0.544828</v>
      </c>
      <c r="AO8" s="98">
        <v>1043.2441527847889</v>
      </c>
      <c r="AP8" s="158">
        <v>0.5051862717</v>
      </c>
      <c r="AQ8" s="100">
        <v>0.22580645161290322</v>
      </c>
      <c r="AR8" s="100">
        <v>0.35</v>
      </c>
      <c r="AS8" s="98">
        <v>252.39777889954567</v>
      </c>
      <c r="AT8" s="98">
        <v>100.95911155981827</v>
      </c>
      <c r="AU8" s="98" t="s">
        <v>557</v>
      </c>
      <c r="AV8" s="98">
        <v>319.70385327275784</v>
      </c>
      <c r="AW8" s="98">
        <v>605.7546693589096</v>
      </c>
      <c r="AX8" s="98">
        <v>555.2751135790005</v>
      </c>
      <c r="AY8" s="98">
        <v>1194.6828201245162</v>
      </c>
      <c r="AZ8" s="98">
        <v>1615.3457849570923</v>
      </c>
      <c r="BA8" s="100" t="s">
        <v>557</v>
      </c>
      <c r="BB8" s="100" t="s">
        <v>557</v>
      </c>
      <c r="BC8" s="100" t="s">
        <v>557</v>
      </c>
      <c r="BD8" s="158">
        <v>0.3873234177</v>
      </c>
      <c r="BE8" s="158">
        <v>0.6476259613</v>
      </c>
      <c r="BF8" s="162">
        <v>776</v>
      </c>
      <c r="BG8" s="162">
        <v>753</v>
      </c>
      <c r="BH8" s="162">
        <v>1373</v>
      </c>
      <c r="BI8" s="162">
        <v>741</v>
      </c>
      <c r="BJ8" s="162">
        <v>290</v>
      </c>
      <c r="BK8" s="97"/>
      <c r="BL8" s="97"/>
      <c r="BM8" s="97"/>
      <c r="BN8" s="97"/>
    </row>
    <row r="9" spans="1:66" ht="12.75">
      <c r="A9" s="79" t="s">
        <v>543</v>
      </c>
      <c r="B9" s="79" t="s">
        <v>318</v>
      </c>
      <c r="C9" s="79" t="s">
        <v>270</v>
      </c>
      <c r="D9" s="99">
        <v>1580</v>
      </c>
      <c r="E9" s="99">
        <v>343</v>
      </c>
      <c r="F9" s="99" t="s">
        <v>346</v>
      </c>
      <c r="G9" s="99">
        <v>12</v>
      </c>
      <c r="H9" s="99" t="s">
        <v>557</v>
      </c>
      <c r="I9" s="99">
        <v>17</v>
      </c>
      <c r="J9" s="99">
        <v>109</v>
      </c>
      <c r="K9" s="99" t="s">
        <v>557</v>
      </c>
      <c r="L9" s="99">
        <v>233</v>
      </c>
      <c r="M9" s="99">
        <v>94</v>
      </c>
      <c r="N9" s="99">
        <v>54</v>
      </c>
      <c r="O9" s="99">
        <v>19</v>
      </c>
      <c r="P9" s="159">
        <v>19</v>
      </c>
      <c r="Q9" s="99" t="s">
        <v>557</v>
      </c>
      <c r="R9" s="99">
        <v>12</v>
      </c>
      <c r="S9" s="99" t="s">
        <v>557</v>
      </c>
      <c r="T9" s="99" t="s">
        <v>557</v>
      </c>
      <c r="U9" s="99" t="s">
        <v>557</v>
      </c>
      <c r="V9" s="99" t="s">
        <v>557</v>
      </c>
      <c r="W9" s="99">
        <v>9</v>
      </c>
      <c r="X9" s="99">
        <v>14</v>
      </c>
      <c r="Y9" s="99">
        <v>37</v>
      </c>
      <c r="Z9" s="99">
        <v>14</v>
      </c>
      <c r="AA9" s="99" t="s">
        <v>557</v>
      </c>
      <c r="AB9" s="99" t="s">
        <v>557</v>
      </c>
      <c r="AC9" s="99" t="s">
        <v>557</v>
      </c>
      <c r="AD9" s="98" t="s">
        <v>326</v>
      </c>
      <c r="AE9" s="100">
        <v>0.2170886075949367</v>
      </c>
      <c r="AF9" s="100">
        <v>0.21</v>
      </c>
      <c r="AG9" s="98">
        <v>759.493670886076</v>
      </c>
      <c r="AH9" s="98" t="s">
        <v>557</v>
      </c>
      <c r="AI9" s="100">
        <v>0.011000000000000001</v>
      </c>
      <c r="AJ9" s="100">
        <v>0.598901</v>
      </c>
      <c r="AK9" s="100" t="s">
        <v>557</v>
      </c>
      <c r="AL9" s="100">
        <v>0.695522</v>
      </c>
      <c r="AM9" s="100">
        <v>0.401709</v>
      </c>
      <c r="AN9" s="100">
        <v>0.568421</v>
      </c>
      <c r="AO9" s="98">
        <v>1202.5316455696202</v>
      </c>
      <c r="AP9" s="158">
        <v>0.5607445526</v>
      </c>
      <c r="AQ9" s="100" t="s">
        <v>557</v>
      </c>
      <c r="AR9" s="100" t="s">
        <v>557</v>
      </c>
      <c r="AS9" s="98" t="s">
        <v>557</v>
      </c>
      <c r="AT9" s="98" t="s">
        <v>557</v>
      </c>
      <c r="AU9" s="98" t="s">
        <v>557</v>
      </c>
      <c r="AV9" s="98" t="s">
        <v>557</v>
      </c>
      <c r="AW9" s="98">
        <v>569.620253164557</v>
      </c>
      <c r="AX9" s="98">
        <v>886.0759493670886</v>
      </c>
      <c r="AY9" s="98">
        <v>2341.772151898734</v>
      </c>
      <c r="AZ9" s="98">
        <v>886.0759493670886</v>
      </c>
      <c r="BA9" s="100" t="s">
        <v>557</v>
      </c>
      <c r="BB9" s="100" t="s">
        <v>557</v>
      </c>
      <c r="BC9" s="100" t="s">
        <v>557</v>
      </c>
      <c r="BD9" s="158">
        <v>0.337604866</v>
      </c>
      <c r="BE9" s="158">
        <v>0.8756720734</v>
      </c>
      <c r="BF9" s="162">
        <v>182</v>
      </c>
      <c r="BG9" s="162" t="s">
        <v>557</v>
      </c>
      <c r="BH9" s="162">
        <v>335</v>
      </c>
      <c r="BI9" s="162">
        <v>234</v>
      </c>
      <c r="BJ9" s="162">
        <v>95</v>
      </c>
      <c r="BK9" s="97"/>
      <c r="BL9" s="97"/>
      <c r="BM9" s="97"/>
      <c r="BN9" s="97"/>
    </row>
    <row r="10" spans="1:66" ht="12.75">
      <c r="A10" s="79" t="s">
        <v>544</v>
      </c>
      <c r="B10" s="79" t="s">
        <v>319</v>
      </c>
      <c r="C10" s="79" t="s">
        <v>270</v>
      </c>
      <c r="D10" s="99">
        <v>6581</v>
      </c>
      <c r="E10" s="99">
        <v>1041</v>
      </c>
      <c r="F10" s="99" t="s">
        <v>349</v>
      </c>
      <c r="G10" s="99">
        <v>26</v>
      </c>
      <c r="H10" s="99">
        <v>10</v>
      </c>
      <c r="I10" s="99">
        <v>120</v>
      </c>
      <c r="J10" s="99">
        <v>429</v>
      </c>
      <c r="K10" s="99">
        <v>9</v>
      </c>
      <c r="L10" s="99">
        <v>1283</v>
      </c>
      <c r="M10" s="99">
        <v>281</v>
      </c>
      <c r="N10" s="99">
        <v>121</v>
      </c>
      <c r="O10" s="99">
        <v>83</v>
      </c>
      <c r="P10" s="159">
        <v>83</v>
      </c>
      <c r="Q10" s="99">
        <v>6</v>
      </c>
      <c r="R10" s="99">
        <v>13</v>
      </c>
      <c r="S10" s="99">
        <v>19</v>
      </c>
      <c r="T10" s="99">
        <v>16</v>
      </c>
      <c r="U10" s="99" t="s">
        <v>557</v>
      </c>
      <c r="V10" s="99">
        <v>15</v>
      </c>
      <c r="W10" s="99">
        <v>22</v>
      </c>
      <c r="X10" s="99">
        <v>19</v>
      </c>
      <c r="Y10" s="99">
        <v>73</v>
      </c>
      <c r="Z10" s="99">
        <v>26</v>
      </c>
      <c r="AA10" s="99" t="s">
        <v>557</v>
      </c>
      <c r="AB10" s="99" t="s">
        <v>557</v>
      </c>
      <c r="AC10" s="99" t="s">
        <v>557</v>
      </c>
      <c r="AD10" s="98" t="s">
        <v>326</v>
      </c>
      <c r="AE10" s="100">
        <v>0.1581826470141316</v>
      </c>
      <c r="AF10" s="100">
        <v>0.13</v>
      </c>
      <c r="AG10" s="98">
        <v>395.0767360583498</v>
      </c>
      <c r="AH10" s="98">
        <v>151.952590791673</v>
      </c>
      <c r="AI10" s="100">
        <v>0.018000000000000002</v>
      </c>
      <c r="AJ10" s="100">
        <v>0.649017</v>
      </c>
      <c r="AK10" s="100">
        <v>0.5625</v>
      </c>
      <c r="AL10" s="100">
        <v>0.81824</v>
      </c>
      <c r="AM10" s="100">
        <v>0.493849</v>
      </c>
      <c r="AN10" s="100">
        <v>0.55</v>
      </c>
      <c r="AO10" s="98">
        <v>1261.2065035708858</v>
      </c>
      <c r="AP10" s="158">
        <v>0.7084043884000001</v>
      </c>
      <c r="AQ10" s="100">
        <v>0.07228915662650602</v>
      </c>
      <c r="AR10" s="100">
        <v>0.46153846153846156</v>
      </c>
      <c r="AS10" s="98">
        <v>288.7099225041787</v>
      </c>
      <c r="AT10" s="98">
        <v>243.1241452666768</v>
      </c>
      <c r="AU10" s="98" t="s">
        <v>557</v>
      </c>
      <c r="AV10" s="98">
        <v>227.9288861875095</v>
      </c>
      <c r="AW10" s="98">
        <v>334.2956997416806</v>
      </c>
      <c r="AX10" s="98">
        <v>288.7099225041787</v>
      </c>
      <c r="AY10" s="98">
        <v>1109.253912779213</v>
      </c>
      <c r="AZ10" s="98">
        <v>395.0767360583498</v>
      </c>
      <c r="BA10" s="100" t="s">
        <v>557</v>
      </c>
      <c r="BB10" s="100" t="s">
        <v>557</v>
      </c>
      <c r="BC10" s="100" t="s">
        <v>557</v>
      </c>
      <c r="BD10" s="158">
        <v>0.5642401122999999</v>
      </c>
      <c r="BE10" s="158">
        <v>0.8781737518</v>
      </c>
      <c r="BF10" s="162">
        <v>661</v>
      </c>
      <c r="BG10" s="162">
        <v>16</v>
      </c>
      <c r="BH10" s="162">
        <v>1568</v>
      </c>
      <c r="BI10" s="162">
        <v>569</v>
      </c>
      <c r="BJ10" s="162">
        <v>220</v>
      </c>
      <c r="BK10" s="97"/>
      <c r="BL10" s="97"/>
      <c r="BM10" s="97"/>
      <c r="BN10" s="97"/>
    </row>
    <row r="11" spans="1:66" ht="12.75">
      <c r="A11" s="79" t="s">
        <v>549</v>
      </c>
      <c r="B11" s="79" t="s">
        <v>324</v>
      </c>
      <c r="C11" s="79" t="s">
        <v>270</v>
      </c>
      <c r="D11" s="99">
        <v>2746</v>
      </c>
      <c r="E11" s="99">
        <v>550</v>
      </c>
      <c r="F11" s="99" t="s">
        <v>349</v>
      </c>
      <c r="G11" s="99">
        <v>18</v>
      </c>
      <c r="H11" s="99">
        <v>6</v>
      </c>
      <c r="I11" s="99">
        <v>45</v>
      </c>
      <c r="J11" s="99">
        <v>243</v>
      </c>
      <c r="K11" s="99">
        <v>210</v>
      </c>
      <c r="L11" s="99">
        <v>520</v>
      </c>
      <c r="M11" s="99">
        <v>168</v>
      </c>
      <c r="N11" s="99">
        <v>63</v>
      </c>
      <c r="O11" s="99">
        <v>38</v>
      </c>
      <c r="P11" s="159">
        <v>38</v>
      </c>
      <c r="Q11" s="99">
        <v>7</v>
      </c>
      <c r="R11" s="99">
        <v>16</v>
      </c>
      <c r="S11" s="99">
        <v>13</v>
      </c>
      <c r="T11" s="99" t="s">
        <v>557</v>
      </c>
      <c r="U11" s="99" t="s">
        <v>557</v>
      </c>
      <c r="V11" s="99" t="s">
        <v>557</v>
      </c>
      <c r="W11" s="99">
        <v>14</v>
      </c>
      <c r="X11" s="99">
        <v>15</v>
      </c>
      <c r="Y11" s="99">
        <v>36</v>
      </c>
      <c r="Z11" s="99">
        <v>19</v>
      </c>
      <c r="AA11" s="99" t="s">
        <v>557</v>
      </c>
      <c r="AB11" s="99" t="s">
        <v>557</v>
      </c>
      <c r="AC11" s="99" t="s">
        <v>557</v>
      </c>
      <c r="AD11" s="98" t="s">
        <v>326</v>
      </c>
      <c r="AE11" s="100">
        <v>0.20029133284777859</v>
      </c>
      <c r="AF11" s="100">
        <v>0.12</v>
      </c>
      <c r="AG11" s="98">
        <v>655.4989075018208</v>
      </c>
      <c r="AH11" s="98">
        <v>218.4996358339403</v>
      </c>
      <c r="AI11" s="100">
        <v>0.016</v>
      </c>
      <c r="AJ11" s="100">
        <v>0.768987</v>
      </c>
      <c r="AK11" s="100">
        <v>0.693069</v>
      </c>
      <c r="AL11" s="100">
        <v>0.791476</v>
      </c>
      <c r="AM11" s="100">
        <v>0.567568</v>
      </c>
      <c r="AN11" s="100">
        <v>0.636364</v>
      </c>
      <c r="AO11" s="98">
        <v>1383.8310269482884</v>
      </c>
      <c r="AP11" s="158">
        <v>0.6795285033999999</v>
      </c>
      <c r="AQ11" s="100">
        <v>0.18421052631578946</v>
      </c>
      <c r="AR11" s="100">
        <v>0.4375</v>
      </c>
      <c r="AS11" s="98">
        <v>473.4158776402039</v>
      </c>
      <c r="AT11" s="98" t="s">
        <v>557</v>
      </c>
      <c r="AU11" s="98" t="s">
        <v>557</v>
      </c>
      <c r="AV11" s="98" t="s">
        <v>557</v>
      </c>
      <c r="AW11" s="98">
        <v>509.8324836125273</v>
      </c>
      <c r="AX11" s="98">
        <v>546.2490895848507</v>
      </c>
      <c r="AY11" s="98">
        <v>1310.9978150036416</v>
      </c>
      <c r="AZ11" s="98">
        <v>691.9155134741442</v>
      </c>
      <c r="BA11" s="100" t="s">
        <v>557</v>
      </c>
      <c r="BB11" s="100" t="s">
        <v>557</v>
      </c>
      <c r="BC11" s="100" t="s">
        <v>557</v>
      </c>
      <c r="BD11" s="158">
        <v>0.48087478640000003</v>
      </c>
      <c r="BE11" s="158">
        <v>0.9327059174</v>
      </c>
      <c r="BF11" s="162">
        <v>316</v>
      </c>
      <c r="BG11" s="162">
        <v>303</v>
      </c>
      <c r="BH11" s="162">
        <v>657</v>
      </c>
      <c r="BI11" s="162">
        <v>296</v>
      </c>
      <c r="BJ11" s="162">
        <v>99</v>
      </c>
      <c r="BK11" s="97"/>
      <c r="BL11" s="97"/>
      <c r="BM11" s="97"/>
      <c r="BN11" s="97"/>
    </row>
    <row r="12" spans="1:66" ht="12.75">
      <c r="A12" s="79" t="s">
        <v>560</v>
      </c>
      <c r="B12" s="79" t="s">
        <v>289</v>
      </c>
      <c r="C12" s="79" t="s">
        <v>270</v>
      </c>
      <c r="D12" s="99">
        <v>10708</v>
      </c>
      <c r="E12" s="99">
        <v>1791</v>
      </c>
      <c r="F12" s="99" t="s">
        <v>346</v>
      </c>
      <c r="G12" s="99">
        <v>36</v>
      </c>
      <c r="H12" s="99">
        <v>19</v>
      </c>
      <c r="I12" s="99">
        <v>162</v>
      </c>
      <c r="J12" s="99">
        <v>735</v>
      </c>
      <c r="K12" s="99">
        <v>280</v>
      </c>
      <c r="L12" s="99">
        <v>1832</v>
      </c>
      <c r="M12" s="99">
        <v>534</v>
      </c>
      <c r="N12" s="99">
        <v>248</v>
      </c>
      <c r="O12" s="99">
        <v>235</v>
      </c>
      <c r="P12" s="159">
        <v>235</v>
      </c>
      <c r="Q12" s="99">
        <v>32</v>
      </c>
      <c r="R12" s="99">
        <v>54</v>
      </c>
      <c r="S12" s="99">
        <v>48</v>
      </c>
      <c r="T12" s="99">
        <v>43</v>
      </c>
      <c r="U12" s="99" t="s">
        <v>557</v>
      </c>
      <c r="V12" s="99">
        <v>44</v>
      </c>
      <c r="W12" s="99">
        <v>63</v>
      </c>
      <c r="X12" s="99">
        <v>74</v>
      </c>
      <c r="Y12" s="99">
        <v>159</v>
      </c>
      <c r="Z12" s="99">
        <v>61</v>
      </c>
      <c r="AA12" s="99" t="s">
        <v>557</v>
      </c>
      <c r="AB12" s="99" t="s">
        <v>557</v>
      </c>
      <c r="AC12" s="99" t="s">
        <v>557</v>
      </c>
      <c r="AD12" s="98" t="s">
        <v>326</v>
      </c>
      <c r="AE12" s="100">
        <v>0.1672581247665297</v>
      </c>
      <c r="AF12" s="100">
        <v>0.2</v>
      </c>
      <c r="AG12" s="98">
        <v>336.1972357116175</v>
      </c>
      <c r="AH12" s="98">
        <v>177.43742995890923</v>
      </c>
      <c r="AI12" s="100">
        <v>0.015</v>
      </c>
      <c r="AJ12" s="100">
        <v>0.677419</v>
      </c>
      <c r="AK12" s="100">
        <v>0.643678</v>
      </c>
      <c r="AL12" s="100">
        <v>0.697639</v>
      </c>
      <c r="AM12" s="100">
        <v>0.499065</v>
      </c>
      <c r="AN12" s="100">
        <v>0.558559</v>
      </c>
      <c r="AO12" s="98">
        <v>2194.6208442286143</v>
      </c>
      <c r="AP12" s="158">
        <v>1.1795665739999999</v>
      </c>
      <c r="AQ12" s="100">
        <v>0.13617021276595745</v>
      </c>
      <c r="AR12" s="100">
        <v>0.5925925925925926</v>
      </c>
      <c r="AS12" s="98">
        <v>448.2629809488233</v>
      </c>
      <c r="AT12" s="98">
        <v>401.5689204333209</v>
      </c>
      <c r="AU12" s="98" t="s">
        <v>557</v>
      </c>
      <c r="AV12" s="98">
        <v>410.90773253642135</v>
      </c>
      <c r="AW12" s="98">
        <v>588.3451624953306</v>
      </c>
      <c r="AX12" s="98">
        <v>691.0720956294359</v>
      </c>
      <c r="AY12" s="98">
        <v>1484.8711243929772</v>
      </c>
      <c r="AZ12" s="98">
        <v>569.6675382891297</v>
      </c>
      <c r="BA12" s="100" t="s">
        <v>557</v>
      </c>
      <c r="BB12" s="100" t="s">
        <v>557</v>
      </c>
      <c r="BC12" s="100" t="s">
        <v>557</v>
      </c>
      <c r="BD12" s="158">
        <v>1.033563232</v>
      </c>
      <c r="BE12" s="158">
        <v>1.340415344</v>
      </c>
      <c r="BF12" s="162">
        <v>1085</v>
      </c>
      <c r="BG12" s="162">
        <v>435</v>
      </c>
      <c r="BH12" s="162">
        <v>2626</v>
      </c>
      <c r="BI12" s="162">
        <v>1070</v>
      </c>
      <c r="BJ12" s="162">
        <v>444</v>
      </c>
      <c r="BK12" s="97"/>
      <c r="BL12" s="97"/>
      <c r="BM12" s="97"/>
      <c r="BN12" s="97"/>
    </row>
    <row r="13" spans="1:66" ht="12.75">
      <c r="A13" s="79" t="s">
        <v>563</v>
      </c>
      <c r="B13" s="79" t="s">
        <v>314</v>
      </c>
      <c r="C13" s="79" t="s">
        <v>270</v>
      </c>
      <c r="D13" s="99">
        <v>11569</v>
      </c>
      <c r="E13" s="99">
        <v>1865</v>
      </c>
      <c r="F13" s="99" t="s">
        <v>349</v>
      </c>
      <c r="G13" s="99">
        <v>48</v>
      </c>
      <c r="H13" s="99">
        <v>32</v>
      </c>
      <c r="I13" s="99">
        <v>162</v>
      </c>
      <c r="J13" s="99">
        <v>593</v>
      </c>
      <c r="K13" s="99">
        <v>519</v>
      </c>
      <c r="L13" s="99">
        <v>1933</v>
      </c>
      <c r="M13" s="99">
        <v>475</v>
      </c>
      <c r="N13" s="99">
        <v>207</v>
      </c>
      <c r="O13" s="99">
        <v>181</v>
      </c>
      <c r="P13" s="159">
        <v>181</v>
      </c>
      <c r="Q13" s="99">
        <v>22</v>
      </c>
      <c r="R13" s="99">
        <v>41</v>
      </c>
      <c r="S13" s="99">
        <v>29</v>
      </c>
      <c r="T13" s="99">
        <v>39</v>
      </c>
      <c r="U13" s="99" t="s">
        <v>557</v>
      </c>
      <c r="V13" s="99">
        <v>26</v>
      </c>
      <c r="W13" s="99">
        <v>62</v>
      </c>
      <c r="X13" s="99">
        <v>48</v>
      </c>
      <c r="Y13" s="99">
        <v>167</v>
      </c>
      <c r="Z13" s="99">
        <v>85</v>
      </c>
      <c r="AA13" s="99" t="s">
        <v>557</v>
      </c>
      <c r="AB13" s="99" t="s">
        <v>557</v>
      </c>
      <c r="AC13" s="99" t="s">
        <v>557</v>
      </c>
      <c r="AD13" s="98" t="s">
        <v>326</v>
      </c>
      <c r="AE13" s="100">
        <v>0.16120667300544558</v>
      </c>
      <c r="AF13" s="100">
        <v>0.13</v>
      </c>
      <c r="AG13" s="98">
        <v>414.9018929898868</v>
      </c>
      <c r="AH13" s="98">
        <v>276.6012619932578</v>
      </c>
      <c r="AI13" s="100">
        <v>0.013999999999999999</v>
      </c>
      <c r="AJ13" s="100">
        <v>0.649507</v>
      </c>
      <c r="AK13" s="100">
        <v>0.606308</v>
      </c>
      <c r="AL13" s="100">
        <v>0.639854</v>
      </c>
      <c r="AM13" s="100">
        <v>0.523128</v>
      </c>
      <c r="AN13" s="100">
        <v>0.5625</v>
      </c>
      <c r="AO13" s="98">
        <v>1564.5258881493646</v>
      </c>
      <c r="AP13" s="158">
        <v>0.9029911040999999</v>
      </c>
      <c r="AQ13" s="100">
        <v>0.12154696132596685</v>
      </c>
      <c r="AR13" s="100">
        <v>0.5365853658536586</v>
      </c>
      <c r="AS13" s="98">
        <v>250.6698936813899</v>
      </c>
      <c r="AT13" s="98">
        <v>337.107788054283</v>
      </c>
      <c r="AU13" s="98" t="s">
        <v>557</v>
      </c>
      <c r="AV13" s="98">
        <v>224.738525369522</v>
      </c>
      <c r="AW13" s="98">
        <v>535.9149451119371</v>
      </c>
      <c r="AX13" s="98">
        <v>414.9018929898868</v>
      </c>
      <c r="AY13" s="98">
        <v>1443.5128360273143</v>
      </c>
      <c r="AZ13" s="98">
        <v>734.7221021695912</v>
      </c>
      <c r="BA13" s="100" t="s">
        <v>557</v>
      </c>
      <c r="BB13" s="100" t="s">
        <v>557</v>
      </c>
      <c r="BC13" s="100" t="s">
        <v>557</v>
      </c>
      <c r="BD13" s="158">
        <v>0.7762277222</v>
      </c>
      <c r="BE13" s="158">
        <v>1.044553146</v>
      </c>
      <c r="BF13" s="162">
        <v>913</v>
      </c>
      <c r="BG13" s="162">
        <v>856</v>
      </c>
      <c r="BH13" s="162">
        <v>3021</v>
      </c>
      <c r="BI13" s="162">
        <v>908</v>
      </c>
      <c r="BJ13" s="162">
        <v>368</v>
      </c>
      <c r="BK13" s="97"/>
      <c r="BL13" s="97"/>
      <c r="BM13" s="97"/>
      <c r="BN13" s="97"/>
    </row>
    <row r="14" spans="1:66" ht="12.75">
      <c r="A14" s="79" t="s">
        <v>534</v>
      </c>
      <c r="B14" s="79" t="s">
        <v>307</v>
      </c>
      <c r="C14" s="79" t="s">
        <v>270</v>
      </c>
      <c r="D14" s="99">
        <v>3072</v>
      </c>
      <c r="E14" s="99">
        <v>782</v>
      </c>
      <c r="F14" s="99" t="s">
        <v>346</v>
      </c>
      <c r="G14" s="99">
        <v>20</v>
      </c>
      <c r="H14" s="99">
        <v>9</v>
      </c>
      <c r="I14" s="99">
        <v>45</v>
      </c>
      <c r="J14" s="99">
        <v>268</v>
      </c>
      <c r="K14" s="99">
        <v>6</v>
      </c>
      <c r="L14" s="99">
        <v>465</v>
      </c>
      <c r="M14" s="99">
        <v>215</v>
      </c>
      <c r="N14" s="99">
        <v>98</v>
      </c>
      <c r="O14" s="99">
        <v>54</v>
      </c>
      <c r="P14" s="159">
        <v>54</v>
      </c>
      <c r="Q14" s="99">
        <v>10</v>
      </c>
      <c r="R14" s="99">
        <v>24</v>
      </c>
      <c r="S14" s="99" t="s">
        <v>557</v>
      </c>
      <c r="T14" s="99">
        <v>11</v>
      </c>
      <c r="U14" s="99" t="s">
        <v>557</v>
      </c>
      <c r="V14" s="99" t="s">
        <v>557</v>
      </c>
      <c r="W14" s="99">
        <v>22</v>
      </c>
      <c r="X14" s="99">
        <v>33</v>
      </c>
      <c r="Y14" s="99">
        <v>52</v>
      </c>
      <c r="Z14" s="99">
        <v>32</v>
      </c>
      <c r="AA14" s="99" t="s">
        <v>557</v>
      </c>
      <c r="AB14" s="99" t="s">
        <v>557</v>
      </c>
      <c r="AC14" s="99" t="s">
        <v>557</v>
      </c>
      <c r="AD14" s="98" t="s">
        <v>326</v>
      </c>
      <c r="AE14" s="100">
        <v>0.2545572916666667</v>
      </c>
      <c r="AF14" s="100">
        <v>0.19</v>
      </c>
      <c r="AG14" s="98">
        <v>651.0416666666666</v>
      </c>
      <c r="AH14" s="98">
        <v>292.96875</v>
      </c>
      <c r="AI14" s="100">
        <v>0.015</v>
      </c>
      <c r="AJ14" s="100">
        <v>0.660099</v>
      </c>
      <c r="AK14" s="100">
        <v>0.75</v>
      </c>
      <c r="AL14" s="100">
        <v>0.75487</v>
      </c>
      <c r="AM14" s="100">
        <v>0.551282</v>
      </c>
      <c r="AN14" s="100">
        <v>0.632258</v>
      </c>
      <c r="AO14" s="98">
        <v>1757.8125</v>
      </c>
      <c r="AP14" s="158">
        <v>0.7693118286</v>
      </c>
      <c r="AQ14" s="100">
        <v>0.18518518518518517</v>
      </c>
      <c r="AR14" s="100">
        <v>0.4166666666666667</v>
      </c>
      <c r="AS14" s="98" t="s">
        <v>557</v>
      </c>
      <c r="AT14" s="98">
        <v>358.0729166666667</v>
      </c>
      <c r="AU14" s="98" t="s">
        <v>557</v>
      </c>
      <c r="AV14" s="98" t="s">
        <v>557</v>
      </c>
      <c r="AW14" s="98">
        <v>716.1458333333334</v>
      </c>
      <c r="AX14" s="98">
        <v>1074.21875</v>
      </c>
      <c r="AY14" s="98">
        <v>1692.7083333333333</v>
      </c>
      <c r="AZ14" s="98">
        <v>1041.6666666666667</v>
      </c>
      <c r="BA14" s="100" t="s">
        <v>557</v>
      </c>
      <c r="BB14" s="100" t="s">
        <v>557</v>
      </c>
      <c r="BC14" s="100" t="s">
        <v>557</v>
      </c>
      <c r="BD14" s="158">
        <v>0.5779307556</v>
      </c>
      <c r="BE14" s="158">
        <v>1.003785095</v>
      </c>
      <c r="BF14" s="162">
        <v>406</v>
      </c>
      <c r="BG14" s="162">
        <v>8</v>
      </c>
      <c r="BH14" s="162">
        <v>616</v>
      </c>
      <c r="BI14" s="162">
        <v>390</v>
      </c>
      <c r="BJ14" s="162">
        <v>155</v>
      </c>
      <c r="BK14" s="97"/>
      <c r="BL14" s="97"/>
      <c r="BM14" s="97"/>
      <c r="BN14" s="97"/>
    </row>
    <row r="15" spans="1:66" ht="12.75">
      <c r="A15" s="79" t="s">
        <v>541</v>
      </c>
      <c r="B15" s="79" t="s">
        <v>316</v>
      </c>
      <c r="C15" s="79" t="s">
        <v>270</v>
      </c>
      <c r="D15" s="99">
        <v>4813</v>
      </c>
      <c r="E15" s="99">
        <v>889</v>
      </c>
      <c r="F15" s="99" t="s">
        <v>348</v>
      </c>
      <c r="G15" s="99">
        <v>23</v>
      </c>
      <c r="H15" s="99">
        <v>13</v>
      </c>
      <c r="I15" s="99">
        <v>88</v>
      </c>
      <c r="J15" s="99">
        <v>436</v>
      </c>
      <c r="K15" s="99">
        <v>423</v>
      </c>
      <c r="L15" s="99">
        <v>992</v>
      </c>
      <c r="M15" s="99">
        <v>326</v>
      </c>
      <c r="N15" s="99">
        <v>150</v>
      </c>
      <c r="O15" s="99">
        <v>74</v>
      </c>
      <c r="P15" s="159">
        <v>74</v>
      </c>
      <c r="Q15" s="99" t="s">
        <v>557</v>
      </c>
      <c r="R15" s="99">
        <v>19</v>
      </c>
      <c r="S15" s="99">
        <v>35</v>
      </c>
      <c r="T15" s="99">
        <v>9</v>
      </c>
      <c r="U15" s="99" t="s">
        <v>557</v>
      </c>
      <c r="V15" s="99">
        <v>12</v>
      </c>
      <c r="W15" s="99">
        <v>26</v>
      </c>
      <c r="X15" s="99">
        <v>21</v>
      </c>
      <c r="Y15" s="99">
        <v>54</v>
      </c>
      <c r="Z15" s="99">
        <v>45</v>
      </c>
      <c r="AA15" s="99" t="s">
        <v>557</v>
      </c>
      <c r="AB15" s="99" t="s">
        <v>557</v>
      </c>
      <c r="AC15" s="99" t="s">
        <v>557</v>
      </c>
      <c r="AD15" s="98" t="s">
        <v>326</v>
      </c>
      <c r="AE15" s="100">
        <v>0.184708082277166</v>
      </c>
      <c r="AF15" s="100">
        <v>0.11</v>
      </c>
      <c r="AG15" s="98">
        <v>477.8724288385622</v>
      </c>
      <c r="AH15" s="98">
        <v>270.1018076044047</v>
      </c>
      <c r="AI15" s="100">
        <v>0.018000000000000002</v>
      </c>
      <c r="AJ15" s="100">
        <v>0.740238</v>
      </c>
      <c r="AK15" s="100">
        <v>0.73951</v>
      </c>
      <c r="AL15" s="100">
        <v>0.794235</v>
      </c>
      <c r="AM15" s="100">
        <v>0.59707</v>
      </c>
      <c r="AN15" s="100">
        <v>0.691244</v>
      </c>
      <c r="AO15" s="98">
        <v>1537.5025971327655</v>
      </c>
      <c r="AP15" s="158">
        <v>0.7776602936</v>
      </c>
      <c r="AQ15" s="100" t="s">
        <v>557</v>
      </c>
      <c r="AR15" s="100" t="s">
        <v>557</v>
      </c>
      <c r="AS15" s="98">
        <v>727.1971743195512</v>
      </c>
      <c r="AT15" s="98">
        <v>186.99355911074173</v>
      </c>
      <c r="AU15" s="98" t="s">
        <v>557</v>
      </c>
      <c r="AV15" s="98">
        <v>249.32474548098898</v>
      </c>
      <c r="AW15" s="98">
        <v>540.2036152088094</v>
      </c>
      <c r="AX15" s="98">
        <v>436.31830459173074</v>
      </c>
      <c r="AY15" s="98">
        <v>1121.9613546644505</v>
      </c>
      <c r="AZ15" s="98">
        <v>934.9677955537087</v>
      </c>
      <c r="BA15" s="100" t="s">
        <v>557</v>
      </c>
      <c r="BB15" s="100" t="s">
        <v>557</v>
      </c>
      <c r="BC15" s="100" t="s">
        <v>557</v>
      </c>
      <c r="BD15" s="158">
        <v>0.6106305694999999</v>
      </c>
      <c r="BE15" s="158">
        <v>0.9762812805</v>
      </c>
      <c r="BF15" s="162">
        <v>589</v>
      </c>
      <c r="BG15" s="162">
        <v>572</v>
      </c>
      <c r="BH15" s="162">
        <v>1249</v>
      </c>
      <c r="BI15" s="162">
        <v>546</v>
      </c>
      <c r="BJ15" s="162">
        <v>217</v>
      </c>
      <c r="BK15" s="97"/>
      <c r="BL15" s="97"/>
      <c r="BM15" s="97"/>
      <c r="BN15" s="97"/>
    </row>
    <row r="16" spans="1:66" ht="12.75">
      <c r="A16" s="79" t="s">
        <v>525</v>
      </c>
      <c r="B16" s="79" t="s">
        <v>297</v>
      </c>
      <c r="C16" s="79" t="s">
        <v>270</v>
      </c>
      <c r="D16" s="99">
        <v>10013</v>
      </c>
      <c r="E16" s="99">
        <v>1786</v>
      </c>
      <c r="F16" s="99" t="s">
        <v>349</v>
      </c>
      <c r="G16" s="99">
        <v>50</v>
      </c>
      <c r="H16" s="99">
        <v>26</v>
      </c>
      <c r="I16" s="99">
        <v>156</v>
      </c>
      <c r="J16" s="99">
        <v>916</v>
      </c>
      <c r="K16" s="99">
        <v>9</v>
      </c>
      <c r="L16" s="99">
        <v>1840</v>
      </c>
      <c r="M16" s="99">
        <v>666</v>
      </c>
      <c r="N16" s="99">
        <v>290</v>
      </c>
      <c r="O16" s="99">
        <v>169</v>
      </c>
      <c r="P16" s="159">
        <v>169</v>
      </c>
      <c r="Q16" s="99">
        <v>32</v>
      </c>
      <c r="R16" s="99">
        <v>63</v>
      </c>
      <c r="S16" s="99">
        <v>45</v>
      </c>
      <c r="T16" s="99">
        <v>24</v>
      </c>
      <c r="U16" s="99">
        <v>7</v>
      </c>
      <c r="V16" s="99">
        <v>36</v>
      </c>
      <c r="W16" s="99">
        <v>67</v>
      </c>
      <c r="X16" s="99">
        <v>56</v>
      </c>
      <c r="Y16" s="99">
        <v>146</v>
      </c>
      <c r="Z16" s="99">
        <v>118</v>
      </c>
      <c r="AA16" s="99" t="s">
        <v>557</v>
      </c>
      <c r="AB16" s="99" t="s">
        <v>557</v>
      </c>
      <c r="AC16" s="99" t="s">
        <v>557</v>
      </c>
      <c r="AD16" s="98" t="s">
        <v>326</v>
      </c>
      <c r="AE16" s="100">
        <v>0.17836812144212524</v>
      </c>
      <c r="AF16" s="100">
        <v>0.14</v>
      </c>
      <c r="AG16" s="98">
        <v>499.3508439029262</v>
      </c>
      <c r="AH16" s="98">
        <v>259.66243882952165</v>
      </c>
      <c r="AI16" s="100">
        <v>0.016</v>
      </c>
      <c r="AJ16" s="100">
        <v>0.745321</v>
      </c>
      <c r="AK16" s="100">
        <v>0.642857</v>
      </c>
      <c r="AL16" s="100">
        <v>0.771488</v>
      </c>
      <c r="AM16" s="100">
        <v>0.568259</v>
      </c>
      <c r="AN16" s="100">
        <v>0.590631</v>
      </c>
      <c r="AO16" s="98">
        <v>1687.8058523918905</v>
      </c>
      <c r="AP16" s="158">
        <v>0.8783517456</v>
      </c>
      <c r="AQ16" s="100">
        <v>0.1893491124260355</v>
      </c>
      <c r="AR16" s="100">
        <v>0.5079365079365079</v>
      </c>
      <c r="AS16" s="98">
        <v>449.4157595126336</v>
      </c>
      <c r="AT16" s="98">
        <v>239.68840507340457</v>
      </c>
      <c r="AU16" s="98">
        <v>69.90911814640967</v>
      </c>
      <c r="AV16" s="98">
        <v>359.5326076101069</v>
      </c>
      <c r="AW16" s="98">
        <v>669.1301308299211</v>
      </c>
      <c r="AX16" s="98">
        <v>559.2729451712773</v>
      </c>
      <c r="AY16" s="98">
        <v>1458.1044641965445</v>
      </c>
      <c r="AZ16" s="98">
        <v>1178.4679916109058</v>
      </c>
      <c r="BA16" s="100" t="s">
        <v>557</v>
      </c>
      <c r="BB16" s="100" t="s">
        <v>557</v>
      </c>
      <c r="BC16" s="100" t="s">
        <v>557</v>
      </c>
      <c r="BD16" s="158">
        <v>0.7509150696</v>
      </c>
      <c r="BE16" s="158">
        <v>1.021218414</v>
      </c>
      <c r="BF16" s="162">
        <v>1229</v>
      </c>
      <c r="BG16" s="162">
        <v>14</v>
      </c>
      <c r="BH16" s="162">
        <v>2385</v>
      </c>
      <c r="BI16" s="162">
        <v>1172</v>
      </c>
      <c r="BJ16" s="162">
        <v>491</v>
      </c>
      <c r="BK16" s="97"/>
      <c r="BL16" s="97"/>
      <c r="BM16" s="97"/>
      <c r="BN16" s="97"/>
    </row>
    <row r="17" spans="1:66" ht="12.75">
      <c r="A17" s="79" t="s">
        <v>545</v>
      </c>
      <c r="B17" s="79" t="s">
        <v>320</v>
      </c>
      <c r="C17" s="79" t="s">
        <v>270</v>
      </c>
      <c r="D17" s="99">
        <v>3598</v>
      </c>
      <c r="E17" s="99">
        <v>505</v>
      </c>
      <c r="F17" s="99" t="s">
        <v>346</v>
      </c>
      <c r="G17" s="99">
        <v>10</v>
      </c>
      <c r="H17" s="99">
        <v>14</v>
      </c>
      <c r="I17" s="99">
        <v>45</v>
      </c>
      <c r="J17" s="99">
        <v>253</v>
      </c>
      <c r="K17" s="99" t="s">
        <v>557</v>
      </c>
      <c r="L17" s="99">
        <v>585</v>
      </c>
      <c r="M17" s="99">
        <v>148</v>
      </c>
      <c r="N17" s="99">
        <v>59</v>
      </c>
      <c r="O17" s="99">
        <v>34</v>
      </c>
      <c r="P17" s="159">
        <v>34</v>
      </c>
      <c r="Q17" s="99">
        <v>7</v>
      </c>
      <c r="R17" s="99">
        <v>14</v>
      </c>
      <c r="S17" s="99">
        <v>11</v>
      </c>
      <c r="T17" s="99" t="s">
        <v>557</v>
      </c>
      <c r="U17" s="99" t="s">
        <v>557</v>
      </c>
      <c r="V17" s="99" t="s">
        <v>557</v>
      </c>
      <c r="W17" s="99">
        <v>17</v>
      </c>
      <c r="X17" s="99">
        <v>13</v>
      </c>
      <c r="Y17" s="99">
        <v>40</v>
      </c>
      <c r="Z17" s="99">
        <v>32</v>
      </c>
      <c r="AA17" s="99" t="s">
        <v>557</v>
      </c>
      <c r="AB17" s="99" t="s">
        <v>557</v>
      </c>
      <c r="AC17" s="99" t="s">
        <v>557</v>
      </c>
      <c r="AD17" s="98" t="s">
        <v>326</v>
      </c>
      <c r="AE17" s="100">
        <v>0.14035575319622012</v>
      </c>
      <c r="AF17" s="100">
        <v>0.2</v>
      </c>
      <c r="AG17" s="98">
        <v>277.9321845469705</v>
      </c>
      <c r="AH17" s="98">
        <v>389.10505836575874</v>
      </c>
      <c r="AI17" s="100">
        <v>0.013000000000000001</v>
      </c>
      <c r="AJ17" s="100">
        <v>0.737609</v>
      </c>
      <c r="AK17" s="100" t="s">
        <v>557</v>
      </c>
      <c r="AL17" s="100">
        <v>0.747126</v>
      </c>
      <c r="AM17" s="100">
        <v>0.512111</v>
      </c>
      <c r="AN17" s="100">
        <v>0.531532</v>
      </c>
      <c r="AO17" s="98">
        <v>944.9694274596999</v>
      </c>
      <c r="AP17" s="158">
        <v>0.5795584488</v>
      </c>
      <c r="AQ17" s="100">
        <v>0.20588235294117646</v>
      </c>
      <c r="AR17" s="100">
        <v>0.5</v>
      </c>
      <c r="AS17" s="98">
        <v>305.7254030016676</v>
      </c>
      <c r="AT17" s="98" t="s">
        <v>557</v>
      </c>
      <c r="AU17" s="98" t="s">
        <v>557</v>
      </c>
      <c r="AV17" s="98" t="s">
        <v>557</v>
      </c>
      <c r="AW17" s="98">
        <v>472.48471372984994</v>
      </c>
      <c r="AX17" s="98">
        <v>361.3118399110617</v>
      </c>
      <c r="AY17" s="98">
        <v>1111.728738187882</v>
      </c>
      <c r="AZ17" s="98">
        <v>889.3829905503057</v>
      </c>
      <c r="BA17" s="100" t="s">
        <v>557</v>
      </c>
      <c r="BB17" s="100" t="s">
        <v>557</v>
      </c>
      <c r="BC17" s="100" t="s">
        <v>557</v>
      </c>
      <c r="BD17" s="158">
        <v>0.401361084</v>
      </c>
      <c r="BE17" s="158">
        <v>0.8098748779</v>
      </c>
      <c r="BF17" s="162">
        <v>343</v>
      </c>
      <c r="BG17" s="162" t="s">
        <v>557</v>
      </c>
      <c r="BH17" s="162">
        <v>783</v>
      </c>
      <c r="BI17" s="162">
        <v>289</v>
      </c>
      <c r="BJ17" s="162">
        <v>111</v>
      </c>
      <c r="BK17" s="97"/>
      <c r="BL17" s="97"/>
      <c r="BM17" s="97"/>
      <c r="BN17" s="97"/>
    </row>
    <row r="18" spans="1:66" ht="12.75">
      <c r="A18" s="79" t="s">
        <v>518</v>
      </c>
      <c r="B18" s="79" t="s">
        <v>290</v>
      </c>
      <c r="C18" s="79" t="s">
        <v>270</v>
      </c>
      <c r="D18" s="99">
        <v>8964</v>
      </c>
      <c r="E18" s="99">
        <v>1042</v>
      </c>
      <c r="F18" s="99" t="s">
        <v>346</v>
      </c>
      <c r="G18" s="99">
        <v>20</v>
      </c>
      <c r="H18" s="99">
        <v>18</v>
      </c>
      <c r="I18" s="99">
        <v>129</v>
      </c>
      <c r="J18" s="99">
        <v>407</v>
      </c>
      <c r="K18" s="99">
        <v>15</v>
      </c>
      <c r="L18" s="99">
        <v>1502</v>
      </c>
      <c r="M18" s="99">
        <v>315</v>
      </c>
      <c r="N18" s="99">
        <v>147</v>
      </c>
      <c r="O18" s="99">
        <v>82</v>
      </c>
      <c r="P18" s="159">
        <v>82</v>
      </c>
      <c r="Q18" s="99">
        <v>17</v>
      </c>
      <c r="R18" s="99">
        <v>31</v>
      </c>
      <c r="S18" s="99">
        <v>19</v>
      </c>
      <c r="T18" s="99">
        <v>12</v>
      </c>
      <c r="U18" s="99" t="s">
        <v>557</v>
      </c>
      <c r="V18" s="99">
        <v>16</v>
      </c>
      <c r="W18" s="99">
        <v>44</v>
      </c>
      <c r="X18" s="99">
        <v>43</v>
      </c>
      <c r="Y18" s="99">
        <v>106</v>
      </c>
      <c r="Z18" s="99">
        <v>67</v>
      </c>
      <c r="AA18" s="99" t="s">
        <v>557</v>
      </c>
      <c r="AB18" s="99" t="s">
        <v>557</v>
      </c>
      <c r="AC18" s="99" t="s">
        <v>557</v>
      </c>
      <c r="AD18" s="98" t="s">
        <v>326</v>
      </c>
      <c r="AE18" s="100">
        <v>0.11624274877286926</v>
      </c>
      <c r="AF18" s="100">
        <v>0.19</v>
      </c>
      <c r="AG18" s="98">
        <v>223.11468094600625</v>
      </c>
      <c r="AH18" s="98">
        <v>200.80321285140562</v>
      </c>
      <c r="AI18" s="100">
        <v>0.013999999999999999</v>
      </c>
      <c r="AJ18" s="100">
        <v>0.580599</v>
      </c>
      <c r="AK18" s="100">
        <v>0.428571</v>
      </c>
      <c r="AL18" s="100">
        <v>0.671735</v>
      </c>
      <c r="AM18" s="100">
        <v>0.458515</v>
      </c>
      <c r="AN18" s="100">
        <v>0.501706</v>
      </c>
      <c r="AO18" s="98">
        <v>914.7701918786256</v>
      </c>
      <c r="AP18" s="158">
        <v>0.6030665588</v>
      </c>
      <c r="AQ18" s="100">
        <v>0.2073170731707317</v>
      </c>
      <c r="AR18" s="100">
        <v>0.5483870967741935</v>
      </c>
      <c r="AS18" s="98">
        <v>211.95894689870593</v>
      </c>
      <c r="AT18" s="98">
        <v>133.86880856760374</v>
      </c>
      <c r="AU18" s="98" t="s">
        <v>557</v>
      </c>
      <c r="AV18" s="98">
        <v>178.491744756805</v>
      </c>
      <c r="AW18" s="98">
        <v>490.85229808121375</v>
      </c>
      <c r="AX18" s="98">
        <v>479.69656403391343</v>
      </c>
      <c r="AY18" s="98">
        <v>1182.5078090138331</v>
      </c>
      <c r="AZ18" s="98">
        <v>747.434181169121</v>
      </c>
      <c r="BA18" s="100" t="s">
        <v>557</v>
      </c>
      <c r="BB18" s="100" t="s">
        <v>557</v>
      </c>
      <c r="BC18" s="100" t="s">
        <v>557</v>
      </c>
      <c r="BD18" s="158">
        <v>0.4796367264</v>
      </c>
      <c r="BE18" s="158">
        <v>0.7485646056999999</v>
      </c>
      <c r="BF18" s="162">
        <v>701</v>
      </c>
      <c r="BG18" s="162">
        <v>35</v>
      </c>
      <c r="BH18" s="162">
        <v>2236</v>
      </c>
      <c r="BI18" s="162">
        <v>687</v>
      </c>
      <c r="BJ18" s="162">
        <v>293</v>
      </c>
      <c r="BK18" s="97"/>
      <c r="BL18" s="97"/>
      <c r="BM18" s="97"/>
      <c r="BN18" s="97"/>
    </row>
    <row r="19" spans="1:66" ht="12.75">
      <c r="A19" s="79" t="s">
        <v>528</v>
      </c>
      <c r="B19" s="79" t="s">
        <v>300</v>
      </c>
      <c r="C19" s="79" t="s">
        <v>270</v>
      </c>
      <c r="D19" s="99">
        <v>12938</v>
      </c>
      <c r="E19" s="99">
        <v>2258</v>
      </c>
      <c r="F19" s="99" t="s">
        <v>348</v>
      </c>
      <c r="G19" s="99">
        <v>64</v>
      </c>
      <c r="H19" s="99">
        <v>33</v>
      </c>
      <c r="I19" s="99">
        <v>270</v>
      </c>
      <c r="J19" s="99">
        <v>1296</v>
      </c>
      <c r="K19" s="99">
        <v>17</v>
      </c>
      <c r="L19" s="99">
        <v>2582</v>
      </c>
      <c r="M19" s="99">
        <v>867</v>
      </c>
      <c r="N19" s="99">
        <v>379</v>
      </c>
      <c r="O19" s="99">
        <v>195</v>
      </c>
      <c r="P19" s="159">
        <v>195</v>
      </c>
      <c r="Q19" s="99">
        <v>30</v>
      </c>
      <c r="R19" s="99">
        <v>57</v>
      </c>
      <c r="S19" s="99">
        <v>48</v>
      </c>
      <c r="T19" s="99">
        <v>35</v>
      </c>
      <c r="U19" s="99">
        <v>6</v>
      </c>
      <c r="V19" s="99">
        <v>23</v>
      </c>
      <c r="W19" s="99">
        <v>83</v>
      </c>
      <c r="X19" s="99">
        <v>68</v>
      </c>
      <c r="Y19" s="99">
        <v>190</v>
      </c>
      <c r="Z19" s="99">
        <v>61</v>
      </c>
      <c r="AA19" s="99" t="s">
        <v>557</v>
      </c>
      <c r="AB19" s="99" t="s">
        <v>557</v>
      </c>
      <c r="AC19" s="99" t="s">
        <v>557</v>
      </c>
      <c r="AD19" s="98" t="s">
        <v>326</v>
      </c>
      <c r="AE19" s="100">
        <v>0.17452465605194</v>
      </c>
      <c r="AF19" s="100">
        <v>0.11</v>
      </c>
      <c r="AG19" s="98">
        <v>494.66687277786366</v>
      </c>
      <c r="AH19" s="98">
        <v>255.06260627608594</v>
      </c>
      <c r="AI19" s="100">
        <v>0.021</v>
      </c>
      <c r="AJ19" s="100">
        <v>0.779783</v>
      </c>
      <c r="AK19" s="100">
        <v>0.68</v>
      </c>
      <c r="AL19" s="100">
        <v>0.804111</v>
      </c>
      <c r="AM19" s="100">
        <v>0.60587</v>
      </c>
      <c r="AN19" s="100">
        <v>0.651203</v>
      </c>
      <c r="AO19" s="98">
        <v>1507.1881279950533</v>
      </c>
      <c r="AP19" s="158">
        <v>0.7773635101</v>
      </c>
      <c r="AQ19" s="100">
        <v>0.15384615384615385</v>
      </c>
      <c r="AR19" s="100">
        <v>0.5263157894736842</v>
      </c>
      <c r="AS19" s="98">
        <v>371.0001545833977</v>
      </c>
      <c r="AT19" s="98">
        <v>270.5209460503942</v>
      </c>
      <c r="AU19" s="98">
        <v>46.375019322924715</v>
      </c>
      <c r="AV19" s="98">
        <v>177.77090740454474</v>
      </c>
      <c r="AW19" s="98">
        <v>641.5211006337919</v>
      </c>
      <c r="AX19" s="98">
        <v>525.5835523264801</v>
      </c>
      <c r="AY19" s="98">
        <v>1468.5422785592827</v>
      </c>
      <c r="AZ19" s="98">
        <v>471.4793631164013</v>
      </c>
      <c r="BA19" s="100" t="s">
        <v>557</v>
      </c>
      <c r="BB19" s="100" t="s">
        <v>557</v>
      </c>
      <c r="BC19" s="100" t="s">
        <v>557</v>
      </c>
      <c r="BD19" s="158">
        <v>0.6720793915000001</v>
      </c>
      <c r="BE19" s="158">
        <v>0.8944624328999999</v>
      </c>
      <c r="BF19" s="162">
        <v>1662</v>
      </c>
      <c r="BG19" s="162">
        <v>25</v>
      </c>
      <c r="BH19" s="162">
        <v>3211</v>
      </c>
      <c r="BI19" s="162">
        <v>1431</v>
      </c>
      <c r="BJ19" s="162">
        <v>582</v>
      </c>
      <c r="BK19" s="97"/>
      <c r="BL19" s="97"/>
      <c r="BM19" s="97"/>
      <c r="BN19" s="97"/>
    </row>
    <row r="20" spans="1:66" ht="12.75">
      <c r="A20" s="79" t="s">
        <v>526</v>
      </c>
      <c r="B20" s="79" t="s">
        <v>298</v>
      </c>
      <c r="C20" s="79" t="s">
        <v>270</v>
      </c>
      <c r="D20" s="99">
        <v>8452</v>
      </c>
      <c r="E20" s="99">
        <v>1781</v>
      </c>
      <c r="F20" s="99" t="s">
        <v>346</v>
      </c>
      <c r="G20" s="99">
        <v>49</v>
      </c>
      <c r="H20" s="99">
        <v>21</v>
      </c>
      <c r="I20" s="99">
        <v>144</v>
      </c>
      <c r="J20" s="99">
        <v>702</v>
      </c>
      <c r="K20" s="99">
        <v>12</v>
      </c>
      <c r="L20" s="99">
        <v>1469</v>
      </c>
      <c r="M20" s="99">
        <v>489</v>
      </c>
      <c r="N20" s="99">
        <v>206</v>
      </c>
      <c r="O20" s="99">
        <v>163</v>
      </c>
      <c r="P20" s="159">
        <v>163</v>
      </c>
      <c r="Q20" s="99">
        <v>15</v>
      </c>
      <c r="R20" s="99">
        <v>30</v>
      </c>
      <c r="S20" s="99">
        <v>14</v>
      </c>
      <c r="T20" s="99">
        <v>42</v>
      </c>
      <c r="U20" s="99">
        <v>11</v>
      </c>
      <c r="V20" s="99">
        <v>26</v>
      </c>
      <c r="W20" s="99">
        <v>63</v>
      </c>
      <c r="X20" s="99">
        <v>55</v>
      </c>
      <c r="Y20" s="99">
        <v>146</v>
      </c>
      <c r="Z20" s="99">
        <v>47</v>
      </c>
      <c r="AA20" s="99" t="s">
        <v>557</v>
      </c>
      <c r="AB20" s="99" t="s">
        <v>557</v>
      </c>
      <c r="AC20" s="99" t="s">
        <v>557</v>
      </c>
      <c r="AD20" s="98" t="s">
        <v>326</v>
      </c>
      <c r="AE20" s="100">
        <v>0.21071935636535732</v>
      </c>
      <c r="AF20" s="100">
        <v>0.22</v>
      </c>
      <c r="AG20" s="98">
        <v>579.7444391859915</v>
      </c>
      <c r="AH20" s="98">
        <v>248.46190250828207</v>
      </c>
      <c r="AI20" s="100">
        <v>0.017</v>
      </c>
      <c r="AJ20" s="100">
        <v>0.635294</v>
      </c>
      <c r="AK20" s="100">
        <v>0.545455</v>
      </c>
      <c r="AL20" s="100">
        <v>0.789361</v>
      </c>
      <c r="AM20" s="100">
        <v>0.513655</v>
      </c>
      <c r="AN20" s="100">
        <v>0.546419</v>
      </c>
      <c r="AO20" s="98">
        <v>1928.5376242309512</v>
      </c>
      <c r="AP20" s="158">
        <v>0.9411109924000001</v>
      </c>
      <c r="AQ20" s="100">
        <v>0.09202453987730061</v>
      </c>
      <c r="AR20" s="100">
        <v>0.5</v>
      </c>
      <c r="AS20" s="98">
        <v>165.6412683388547</v>
      </c>
      <c r="AT20" s="98">
        <v>496.92380501656413</v>
      </c>
      <c r="AU20" s="98">
        <v>130.14671083767155</v>
      </c>
      <c r="AV20" s="98">
        <v>307.61949834358734</v>
      </c>
      <c r="AW20" s="98">
        <v>745.3857075248462</v>
      </c>
      <c r="AX20" s="98">
        <v>650.7335541883577</v>
      </c>
      <c r="AY20" s="98">
        <v>1727.4017983909134</v>
      </c>
      <c r="AZ20" s="98">
        <v>556.0814008518694</v>
      </c>
      <c r="BA20" s="101" t="s">
        <v>557</v>
      </c>
      <c r="BB20" s="101" t="s">
        <v>557</v>
      </c>
      <c r="BC20" s="101" t="s">
        <v>557</v>
      </c>
      <c r="BD20" s="158">
        <v>0.8021789551</v>
      </c>
      <c r="BE20" s="158">
        <v>1.097191696</v>
      </c>
      <c r="BF20" s="162">
        <v>1105</v>
      </c>
      <c r="BG20" s="162">
        <v>22</v>
      </c>
      <c r="BH20" s="162">
        <v>1861</v>
      </c>
      <c r="BI20" s="162">
        <v>952</v>
      </c>
      <c r="BJ20" s="162">
        <v>377</v>
      </c>
      <c r="BK20" s="97"/>
      <c r="BL20" s="97"/>
      <c r="BM20" s="97"/>
      <c r="BN20" s="97"/>
    </row>
    <row r="21" spans="1:66" ht="12.75">
      <c r="A21" s="79" t="s">
        <v>539</v>
      </c>
      <c r="B21" s="79" t="s">
        <v>313</v>
      </c>
      <c r="C21" s="79" t="s">
        <v>270</v>
      </c>
      <c r="D21" s="99">
        <v>3852</v>
      </c>
      <c r="E21" s="99">
        <v>973</v>
      </c>
      <c r="F21" s="99" t="s">
        <v>348</v>
      </c>
      <c r="G21" s="99">
        <v>18</v>
      </c>
      <c r="H21" s="99">
        <v>18</v>
      </c>
      <c r="I21" s="99">
        <v>114</v>
      </c>
      <c r="J21" s="99">
        <v>337</v>
      </c>
      <c r="K21" s="99">
        <v>6</v>
      </c>
      <c r="L21" s="99">
        <v>707</v>
      </c>
      <c r="M21" s="99">
        <v>295</v>
      </c>
      <c r="N21" s="99">
        <v>136</v>
      </c>
      <c r="O21" s="99">
        <v>119</v>
      </c>
      <c r="P21" s="159">
        <v>119</v>
      </c>
      <c r="Q21" s="99">
        <v>7</v>
      </c>
      <c r="R21" s="99">
        <v>18</v>
      </c>
      <c r="S21" s="99">
        <v>30</v>
      </c>
      <c r="T21" s="99">
        <v>16</v>
      </c>
      <c r="U21" s="99" t="s">
        <v>557</v>
      </c>
      <c r="V21" s="99">
        <v>12</v>
      </c>
      <c r="W21" s="99">
        <v>28</v>
      </c>
      <c r="X21" s="99">
        <v>31</v>
      </c>
      <c r="Y21" s="99">
        <v>61</v>
      </c>
      <c r="Z21" s="99">
        <v>48</v>
      </c>
      <c r="AA21" s="99" t="s">
        <v>557</v>
      </c>
      <c r="AB21" s="99" t="s">
        <v>557</v>
      </c>
      <c r="AC21" s="99" t="s">
        <v>557</v>
      </c>
      <c r="AD21" s="98" t="s">
        <v>326</v>
      </c>
      <c r="AE21" s="100">
        <v>0.2525960539979232</v>
      </c>
      <c r="AF21" s="100">
        <v>0.12</v>
      </c>
      <c r="AG21" s="98">
        <v>467.2897196261682</v>
      </c>
      <c r="AH21" s="98">
        <v>467.2897196261682</v>
      </c>
      <c r="AI21" s="100">
        <v>0.03</v>
      </c>
      <c r="AJ21" s="100">
        <v>0.667327</v>
      </c>
      <c r="AK21" s="100">
        <v>0.5</v>
      </c>
      <c r="AL21" s="100">
        <v>0.853865</v>
      </c>
      <c r="AM21" s="100">
        <v>0.598377</v>
      </c>
      <c r="AN21" s="100">
        <v>0.621005</v>
      </c>
      <c r="AO21" s="98">
        <v>3089.3042575285567</v>
      </c>
      <c r="AP21" s="158">
        <v>1.366360474</v>
      </c>
      <c r="AQ21" s="100">
        <v>0.058823529411764705</v>
      </c>
      <c r="AR21" s="100">
        <v>0.3888888888888889</v>
      </c>
      <c r="AS21" s="98">
        <v>778.816199376947</v>
      </c>
      <c r="AT21" s="98">
        <v>415.3686396677051</v>
      </c>
      <c r="AU21" s="98" t="s">
        <v>557</v>
      </c>
      <c r="AV21" s="98">
        <v>311.52647975077883</v>
      </c>
      <c r="AW21" s="98">
        <v>726.8951194184839</v>
      </c>
      <c r="AX21" s="98">
        <v>804.7767393561786</v>
      </c>
      <c r="AY21" s="98">
        <v>1583.5929387331257</v>
      </c>
      <c r="AZ21" s="98">
        <v>1246.1059190031153</v>
      </c>
      <c r="BA21" s="100" t="s">
        <v>557</v>
      </c>
      <c r="BB21" s="100" t="s">
        <v>557</v>
      </c>
      <c r="BC21" s="100" t="s">
        <v>557</v>
      </c>
      <c r="BD21" s="158">
        <v>1.131916351</v>
      </c>
      <c r="BE21" s="158">
        <v>1.635054016</v>
      </c>
      <c r="BF21" s="162">
        <v>505</v>
      </c>
      <c r="BG21" s="162">
        <v>12</v>
      </c>
      <c r="BH21" s="162">
        <v>828</v>
      </c>
      <c r="BI21" s="162">
        <v>493</v>
      </c>
      <c r="BJ21" s="162">
        <v>219</v>
      </c>
      <c r="BK21" s="97"/>
      <c r="BL21" s="97"/>
      <c r="BM21" s="97"/>
      <c r="BN21" s="97"/>
    </row>
    <row r="22" spans="1:66" ht="12.75">
      <c r="A22" s="79" t="s">
        <v>531</v>
      </c>
      <c r="B22" s="79" t="s">
        <v>304</v>
      </c>
      <c r="C22" s="79" t="s">
        <v>270</v>
      </c>
      <c r="D22" s="99">
        <v>9259</v>
      </c>
      <c r="E22" s="99">
        <v>2808</v>
      </c>
      <c r="F22" s="99" t="s">
        <v>350</v>
      </c>
      <c r="G22" s="99">
        <v>65</v>
      </c>
      <c r="H22" s="99">
        <v>41</v>
      </c>
      <c r="I22" s="99">
        <v>328</v>
      </c>
      <c r="J22" s="99">
        <v>1068</v>
      </c>
      <c r="K22" s="99">
        <v>38</v>
      </c>
      <c r="L22" s="99">
        <v>1757</v>
      </c>
      <c r="M22" s="99">
        <v>893</v>
      </c>
      <c r="N22" s="99">
        <v>403</v>
      </c>
      <c r="O22" s="99">
        <v>268</v>
      </c>
      <c r="P22" s="159">
        <v>268</v>
      </c>
      <c r="Q22" s="99">
        <v>30</v>
      </c>
      <c r="R22" s="99">
        <v>58</v>
      </c>
      <c r="S22" s="99">
        <v>39</v>
      </c>
      <c r="T22" s="99">
        <v>41</v>
      </c>
      <c r="U22" s="99" t="s">
        <v>557</v>
      </c>
      <c r="V22" s="99">
        <v>90</v>
      </c>
      <c r="W22" s="99">
        <v>51</v>
      </c>
      <c r="X22" s="99">
        <v>51</v>
      </c>
      <c r="Y22" s="99">
        <v>94</v>
      </c>
      <c r="Z22" s="99">
        <v>121</v>
      </c>
      <c r="AA22" s="99" t="s">
        <v>557</v>
      </c>
      <c r="AB22" s="99" t="s">
        <v>557</v>
      </c>
      <c r="AC22" s="99" t="s">
        <v>557</v>
      </c>
      <c r="AD22" s="98" t="s">
        <v>326</v>
      </c>
      <c r="AE22" s="100">
        <v>0.3032724916297656</v>
      </c>
      <c r="AF22" s="100">
        <v>0.05</v>
      </c>
      <c r="AG22" s="98">
        <v>702.0196565503834</v>
      </c>
      <c r="AH22" s="98">
        <v>442.81239874716493</v>
      </c>
      <c r="AI22" s="100">
        <v>0.035</v>
      </c>
      <c r="AJ22" s="100">
        <v>0.755304</v>
      </c>
      <c r="AK22" s="100">
        <v>0.716981</v>
      </c>
      <c r="AL22" s="100">
        <v>0.824883</v>
      </c>
      <c r="AM22" s="100">
        <v>0.631095</v>
      </c>
      <c r="AN22" s="100">
        <v>0.671667</v>
      </c>
      <c r="AO22" s="98">
        <v>2894.4810454692733</v>
      </c>
      <c r="AP22" s="158">
        <v>1.125121841</v>
      </c>
      <c r="AQ22" s="100">
        <v>0.11194029850746269</v>
      </c>
      <c r="AR22" s="100">
        <v>0.5172413793103449</v>
      </c>
      <c r="AS22" s="98">
        <v>421.21179393023004</v>
      </c>
      <c r="AT22" s="98">
        <v>442.81239874716493</v>
      </c>
      <c r="AU22" s="98" t="s">
        <v>557</v>
      </c>
      <c r="AV22" s="98">
        <v>972.0272167620693</v>
      </c>
      <c r="AW22" s="98">
        <v>550.8154228318393</v>
      </c>
      <c r="AX22" s="98">
        <v>550.8154228318393</v>
      </c>
      <c r="AY22" s="98">
        <v>1015.2284263959391</v>
      </c>
      <c r="AZ22" s="98">
        <v>1306.8365914245599</v>
      </c>
      <c r="BA22" s="100" t="s">
        <v>557</v>
      </c>
      <c r="BB22" s="100" t="s">
        <v>557</v>
      </c>
      <c r="BC22" s="100" t="s">
        <v>557</v>
      </c>
      <c r="BD22" s="158">
        <v>0.9944372559</v>
      </c>
      <c r="BE22" s="158">
        <v>1.268206329</v>
      </c>
      <c r="BF22" s="162">
        <v>1414</v>
      </c>
      <c r="BG22" s="162">
        <v>53</v>
      </c>
      <c r="BH22" s="162">
        <v>2130</v>
      </c>
      <c r="BI22" s="162">
        <v>1415</v>
      </c>
      <c r="BJ22" s="162">
        <v>600</v>
      </c>
      <c r="BK22" s="97"/>
      <c r="BL22" s="97"/>
      <c r="BM22" s="97"/>
      <c r="BN22" s="97"/>
    </row>
    <row r="23" spans="1:66" ht="12.75">
      <c r="A23" s="79" t="s">
        <v>537</v>
      </c>
      <c r="B23" s="79" t="s">
        <v>310</v>
      </c>
      <c r="C23" s="79" t="s">
        <v>270</v>
      </c>
      <c r="D23" s="99">
        <v>4209</v>
      </c>
      <c r="E23" s="99">
        <v>723</v>
      </c>
      <c r="F23" s="99" t="s">
        <v>348</v>
      </c>
      <c r="G23" s="99">
        <v>24</v>
      </c>
      <c r="H23" s="99">
        <v>13</v>
      </c>
      <c r="I23" s="99">
        <v>69</v>
      </c>
      <c r="J23" s="99">
        <v>415</v>
      </c>
      <c r="K23" s="99">
        <v>6</v>
      </c>
      <c r="L23" s="99">
        <v>915</v>
      </c>
      <c r="M23" s="99">
        <v>301</v>
      </c>
      <c r="N23" s="99">
        <v>141</v>
      </c>
      <c r="O23" s="99">
        <v>75</v>
      </c>
      <c r="P23" s="159">
        <v>75</v>
      </c>
      <c r="Q23" s="99" t="s">
        <v>557</v>
      </c>
      <c r="R23" s="99">
        <v>16</v>
      </c>
      <c r="S23" s="99">
        <v>26</v>
      </c>
      <c r="T23" s="99">
        <v>11</v>
      </c>
      <c r="U23" s="99" t="s">
        <v>557</v>
      </c>
      <c r="V23" s="99">
        <v>18</v>
      </c>
      <c r="W23" s="99">
        <v>29</v>
      </c>
      <c r="X23" s="99">
        <v>25</v>
      </c>
      <c r="Y23" s="99">
        <v>74</v>
      </c>
      <c r="Z23" s="99">
        <v>44</v>
      </c>
      <c r="AA23" s="99" t="s">
        <v>557</v>
      </c>
      <c r="AB23" s="99" t="s">
        <v>557</v>
      </c>
      <c r="AC23" s="99" t="s">
        <v>557</v>
      </c>
      <c r="AD23" s="98" t="s">
        <v>326</v>
      </c>
      <c r="AE23" s="100">
        <v>0.17177476835352815</v>
      </c>
      <c r="AF23" s="100">
        <v>0.09</v>
      </c>
      <c r="AG23" s="98">
        <v>570.2066999287241</v>
      </c>
      <c r="AH23" s="98">
        <v>308.86196246139224</v>
      </c>
      <c r="AI23" s="100">
        <v>0.016</v>
      </c>
      <c r="AJ23" s="100">
        <v>0.764273</v>
      </c>
      <c r="AK23" s="100">
        <v>0.75</v>
      </c>
      <c r="AL23" s="100">
        <v>0.868121</v>
      </c>
      <c r="AM23" s="100">
        <v>0.641791</v>
      </c>
      <c r="AN23" s="100">
        <v>0.681159</v>
      </c>
      <c r="AO23" s="98">
        <v>1781.895937277263</v>
      </c>
      <c r="AP23" s="158">
        <v>0.9160780334</v>
      </c>
      <c r="AQ23" s="100" t="s">
        <v>557</v>
      </c>
      <c r="AR23" s="100" t="s">
        <v>557</v>
      </c>
      <c r="AS23" s="98">
        <v>617.7239249227845</v>
      </c>
      <c r="AT23" s="98">
        <v>261.3447374673319</v>
      </c>
      <c r="AU23" s="98" t="s">
        <v>557</v>
      </c>
      <c r="AV23" s="98">
        <v>427.6550249465431</v>
      </c>
      <c r="AW23" s="98">
        <v>688.999762413875</v>
      </c>
      <c r="AX23" s="98">
        <v>593.9653124257543</v>
      </c>
      <c r="AY23" s="98">
        <v>1758.1373247802328</v>
      </c>
      <c r="AZ23" s="98">
        <v>1045.3789498693277</v>
      </c>
      <c r="BA23" s="100" t="s">
        <v>557</v>
      </c>
      <c r="BB23" s="100" t="s">
        <v>557</v>
      </c>
      <c r="BC23" s="100" t="s">
        <v>557</v>
      </c>
      <c r="BD23" s="158">
        <v>0.7205535126</v>
      </c>
      <c r="BE23" s="158">
        <v>1.148311768</v>
      </c>
      <c r="BF23" s="162">
        <v>543</v>
      </c>
      <c r="BG23" s="162">
        <v>8</v>
      </c>
      <c r="BH23" s="162">
        <v>1054</v>
      </c>
      <c r="BI23" s="162">
        <v>469</v>
      </c>
      <c r="BJ23" s="162">
        <v>207</v>
      </c>
      <c r="BK23" s="97"/>
      <c r="BL23" s="97"/>
      <c r="BM23" s="97"/>
      <c r="BN23" s="97"/>
    </row>
    <row r="24" spans="1:66" ht="12.75">
      <c r="A24" s="79" t="s">
        <v>538</v>
      </c>
      <c r="B24" s="79" t="s">
        <v>311</v>
      </c>
      <c r="C24" s="79" t="s">
        <v>270</v>
      </c>
      <c r="D24" s="99">
        <v>4958</v>
      </c>
      <c r="E24" s="99">
        <v>1006</v>
      </c>
      <c r="F24" s="99" t="s">
        <v>349</v>
      </c>
      <c r="G24" s="99">
        <v>22</v>
      </c>
      <c r="H24" s="99">
        <v>11</v>
      </c>
      <c r="I24" s="99">
        <v>106</v>
      </c>
      <c r="J24" s="99">
        <v>457</v>
      </c>
      <c r="K24" s="99">
        <v>6</v>
      </c>
      <c r="L24" s="99">
        <v>920</v>
      </c>
      <c r="M24" s="99">
        <v>371</v>
      </c>
      <c r="N24" s="99">
        <v>179</v>
      </c>
      <c r="O24" s="99">
        <v>74</v>
      </c>
      <c r="P24" s="159">
        <v>74</v>
      </c>
      <c r="Q24" s="99">
        <v>8</v>
      </c>
      <c r="R24" s="99">
        <v>24</v>
      </c>
      <c r="S24" s="99">
        <v>23</v>
      </c>
      <c r="T24" s="99" t="s">
        <v>557</v>
      </c>
      <c r="U24" s="99" t="s">
        <v>557</v>
      </c>
      <c r="V24" s="99">
        <v>13</v>
      </c>
      <c r="W24" s="99">
        <v>29</v>
      </c>
      <c r="X24" s="99">
        <v>14</v>
      </c>
      <c r="Y24" s="99">
        <v>59</v>
      </c>
      <c r="Z24" s="99">
        <v>22</v>
      </c>
      <c r="AA24" s="99" t="s">
        <v>557</v>
      </c>
      <c r="AB24" s="99" t="s">
        <v>557</v>
      </c>
      <c r="AC24" s="99" t="s">
        <v>557</v>
      </c>
      <c r="AD24" s="98" t="s">
        <v>326</v>
      </c>
      <c r="AE24" s="100">
        <v>0.2029043969342477</v>
      </c>
      <c r="AF24" s="100">
        <v>0.13</v>
      </c>
      <c r="AG24" s="98">
        <v>443.7273093989512</v>
      </c>
      <c r="AH24" s="98">
        <v>221.8636546994756</v>
      </c>
      <c r="AI24" s="100">
        <v>0.021</v>
      </c>
      <c r="AJ24" s="100">
        <v>0.766779</v>
      </c>
      <c r="AK24" s="100">
        <v>0.75</v>
      </c>
      <c r="AL24" s="100">
        <v>0.784314</v>
      </c>
      <c r="AM24" s="100">
        <v>0.655477</v>
      </c>
      <c r="AN24" s="100">
        <v>0.721774</v>
      </c>
      <c r="AO24" s="98">
        <v>1492.5373134328358</v>
      </c>
      <c r="AP24" s="158">
        <v>0.724808197</v>
      </c>
      <c r="AQ24" s="100">
        <v>0.10810810810810811</v>
      </c>
      <c r="AR24" s="100">
        <v>0.3333333333333333</v>
      </c>
      <c r="AS24" s="98">
        <v>463.896732553449</v>
      </c>
      <c r="AT24" s="98" t="s">
        <v>557</v>
      </c>
      <c r="AU24" s="98" t="s">
        <v>557</v>
      </c>
      <c r="AV24" s="98">
        <v>262.20250100847113</v>
      </c>
      <c r="AW24" s="98">
        <v>584.9132714804357</v>
      </c>
      <c r="AX24" s="98">
        <v>282.3719241629689</v>
      </c>
      <c r="AY24" s="98">
        <v>1189.9959661153691</v>
      </c>
      <c r="AZ24" s="98">
        <v>443.7273093989512</v>
      </c>
      <c r="BA24" s="100" t="s">
        <v>557</v>
      </c>
      <c r="BB24" s="100" t="s">
        <v>557</v>
      </c>
      <c r="BC24" s="100" t="s">
        <v>557</v>
      </c>
      <c r="BD24" s="158">
        <v>0.5691303253000001</v>
      </c>
      <c r="BE24" s="158">
        <v>0.9099302672999999</v>
      </c>
      <c r="BF24" s="162">
        <v>596</v>
      </c>
      <c r="BG24" s="162">
        <v>8</v>
      </c>
      <c r="BH24" s="162">
        <v>1173</v>
      </c>
      <c r="BI24" s="162">
        <v>566</v>
      </c>
      <c r="BJ24" s="162">
        <v>248</v>
      </c>
      <c r="BK24" s="97"/>
      <c r="BL24" s="97"/>
      <c r="BM24" s="97"/>
      <c r="BN24" s="97"/>
    </row>
    <row r="25" spans="1:66" ht="12.75">
      <c r="A25" s="79" t="s">
        <v>536</v>
      </c>
      <c r="B25" s="79" t="s">
        <v>309</v>
      </c>
      <c r="C25" s="79" t="s">
        <v>270</v>
      </c>
      <c r="D25" s="99">
        <v>8290</v>
      </c>
      <c r="E25" s="99">
        <v>1212</v>
      </c>
      <c r="F25" s="99" t="s">
        <v>349</v>
      </c>
      <c r="G25" s="99">
        <v>40</v>
      </c>
      <c r="H25" s="99">
        <v>22</v>
      </c>
      <c r="I25" s="99">
        <v>119</v>
      </c>
      <c r="J25" s="99">
        <v>602</v>
      </c>
      <c r="K25" s="99">
        <v>10</v>
      </c>
      <c r="L25" s="99">
        <v>1657</v>
      </c>
      <c r="M25" s="99">
        <v>443</v>
      </c>
      <c r="N25" s="99">
        <v>199</v>
      </c>
      <c r="O25" s="99">
        <v>150</v>
      </c>
      <c r="P25" s="159">
        <v>150</v>
      </c>
      <c r="Q25" s="99">
        <v>10</v>
      </c>
      <c r="R25" s="99">
        <v>26</v>
      </c>
      <c r="S25" s="99">
        <v>39</v>
      </c>
      <c r="T25" s="99">
        <v>21</v>
      </c>
      <c r="U25" s="99">
        <v>7</v>
      </c>
      <c r="V25" s="99">
        <v>19</v>
      </c>
      <c r="W25" s="99">
        <v>35</v>
      </c>
      <c r="X25" s="99">
        <v>31</v>
      </c>
      <c r="Y25" s="99">
        <v>104</v>
      </c>
      <c r="Z25" s="99">
        <v>52</v>
      </c>
      <c r="AA25" s="99" t="s">
        <v>557</v>
      </c>
      <c r="AB25" s="99" t="s">
        <v>557</v>
      </c>
      <c r="AC25" s="99" t="s">
        <v>557</v>
      </c>
      <c r="AD25" s="98" t="s">
        <v>326</v>
      </c>
      <c r="AE25" s="100">
        <v>0.14620024125452352</v>
      </c>
      <c r="AF25" s="100">
        <v>0.14</v>
      </c>
      <c r="AG25" s="98">
        <v>482.5090470446321</v>
      </c>
      <c r="AH25" s="98">
        <v>265.37997587454765</v>
      </c>
      <c r="AI25" s="100">
        <v>0.013999999999999999</v>
      </c>
      <c r="AJ25" s="100">
        <v>0.70245</v>
      </c>
      <c r="AK25" s="100">
        <v>0.714286</v>
      </c>
      <c r="AL25" s="100">
        <v>0.828914</v>
      </c>
      <c r="AM25" s="100">
        <v>0.560759</v>
      </c>
      <c r="AN25" s="100">
        <v>0.629747</v>
      </c>
      <c r="AO25" s="98">
        <v>1809.4089264173704</v>
      </c>
      <c r="AP25" s="158">
        <v>1.044441452</v>
      </c>
      <c r="AQ25" s="100">
        <v>0.06666666666666667</v>
      </c>
      <c r="AR25" s="100">
        <v>0.38461538461538464</v>
      </c>
      <c r="AS25" s="98">
        <v>470.4463208685163</v>
      </c>
      <c r="AT25" s="98">
        <v>253.31724969843185</v>
      </c>
      <c r="AU25" s="98">
        <v>84.43908323281062</v>
      </c>
      <c r="AV25" s="98">
        <v>229.19179734620025</v>
      </c>
      <c r="AW25" s="98">
        <v>422.1954161640531</v>
      </c>
      <c r="AX25" s="98">
        <v>373.9445114595899</v>
      </c>
      <c r="AY25" s="98">
        <v>1254.5235223160435</v>
      </c>
      <c r="AZ25" s="98">
        <v>627.2617611580217</v>
      </c>
      <c r="BA25" s="100" t="s">
        <v>557</v>
      </c>
      <c r="BB25" s="100" t="s">
        <v>557</v>
      </c>
      <c r="BC25" s="100" t="s">
        <v>557</v>
      </c>
      <c r="BD25" s="158">
        <v>0.8839884949000001</v>
      </c>
      <c r="BE25" s="158">
        <v>1.225597458</v>
      </c>
      <c r="BF25" s="162">
        <v>857</v>
      </c>
      <c r="BG25" s="162">
        <v>14</v>
      </c>
      <c r="BH25" s="162">
        <v>1999</v>
      </c>
      <c r="BI25" s="162">
        <v>790</v>
      </c>
      <c r="BJ25" s="162">
        <v>316</v>
      </c>
      <c r="BK25" s="97"/>
      <c r="BL25" s="97"/>
      <c r="BM25" s="97"/>
      <c r="BN25" s="97"/>
    </row>
    <row r="26" spans="1:66" ht="12.75">
      <c r="A26" s="79" t="s">
        <v>522</v>
      </c>
      <c r="B26" s="79" t="s">
        <v>294</v>
      </c>
      <c r="C26" s="79" t="s">
        <v>270</v>
      </c>
      <c r="D26" s="99">
        <v>7927</v>
      </c>
      <c r="E26" s="99">
        <v>1242</v>
      </c>
      <c r="F26" s="99" t="s">
        <v>348</v>
      </c>
      <c r="G26" s="99">
        <v>35</v>
      </c>
      <c r="H26" s="99">
        <v>28</v>
      </c>
      <c r="I26" s="99">
        <v>149</v>
      </c>
      <c r="J26" s="99">
        <v>572</v>
      </c>
      <c r="K26" s="99">
        <v>13</v>
      </c>
      <c r="L26" s="99">
        <v>1575</v>
      </c>
      <c r="M26" s="99">
        <v>404</v>
      </c>
      <c r="N26" s="99">
        <v>195</v>
      </c>
      <c r="O26" s="99">
        <v>161</v>
      </c>
      <c r="P26" s="159">
        <v>161</v>
      </c>
      <c r="Q26" s="99">
        <v>18</v>
      </c>
      <c r="R26" s="99">
        <v>35</v>
      </c>
      <c r="S26" s="99">
        <v>39</v>
      </c>
      <c r="T26" s="99">
        <v>28</v>
      </c>
      <c r="U26" s="99">
        <v>6</v>
      </c>
      <c r="V26" s="99">
        <v>12</v>
      </c>
      <c r="W26" s="99">
        <v>66</v>
      </c>
      <c r="X26" s="99">
        <v>39</v>
      </c>
      <c r="Y26" s="99">
        <v>133</v>
      </c>
      <c r="Z26" s="99">
        <v>72</v>
      </c>
      <c r="AA26" s="99" t="s">
        <v>557</v>
      </c>
      <c r="AB26" s="99" t="s">
        <v>557</v>
      </c>
      <c r="AC26" s="99" t="s">
        <v>557</v>
      </c>
      <c r="AD26" s="98" t="s">
        <v>326</v>
      </c>
      <c r="AE26" s="100">
        <v>0.15667970228333544</v>
      </c>
      <c r="AF26" s="100">
        <v>0.11</v>
      </c>
      <c r="AG26" s="98">
        <v>441.5289516841176</v>
      </c>
      <c r="AH26" s="98">
        <v>353.2231613472941</v>
      </c>
      <c r="AI26" s="100">
        <v>0.019</v>
      </c>
      <c r="AJ26" s="100">
        <v>0.640538</v>
      </c>
      <c r="AK26" s="100">
        <v>0.65</v>
      </c>
      <c r="AL26" s="100">
        <v>0.806039</v>
      </c>
      <c r="AM26" s="100">
        <v>0.529489</v>
      </c>
      <c r="AN26" s="100">
        <v>0.594512</v>
      </c>
      <c r="AO26" s="98">
        <v>2031.0331777469407</v>
      </c>
      <c r="AP26" s="158">
        <v>1.118203354</v>
      </c>
      <c r="AQ26" s="100">
        <v>0.11180124223602485</v>
      </c>
      <c r="AR26" s="100">
        <v>0.5142857142857142</v>
      </c>
      <c r="AS26" s="98">
        <v>491.98940330515956</v>
      </c>
      <c r="AT26" s="98">
        <v>353.2231613472941</v>
      </c>
      <c r="AU26" s="98">
        <v>75.69067743156302</v>
      </c>
      <c r="AV26" s="98">
        <v>151.38135486312603</v>
      </c>
      <c r="AW26" s="98">
        <v>832.5974517471932</v>
      </c>
      <c r="AX26" s="98">
        <v>491.98940330515956</v>
      </c>
      <c r="AY26" s="98">
        <v>1677.8100163996469</v>
      </c>
      <c r="AZ26" s="98">
        <v>908.2881291787561</v>
      </c>
      <c r="BA26" s="100" t="s">
        <v>557</v>
      </c>
      <c r="BB26" s="100" t="s">
        <v>557</v>
      </c>
      <c r="BC26" s="100" t="s">
        <v>557</v>
      </c>
      <c r="BD26" s="158">
        <v>0.9521474457</v>
      </c>
      <c r="BE26" s="158">
        <v>1.304891205</v>
      </c>
      <c r="BF26" s="162">
        <v>893</v>
      </c>
      <c r="BG26" s="162">
        <v>20</v>
      </c>
      <c r="BH26" s="162">
        <v>1954</v>
      </c>
      <c r="BI26" s="162">
        <v>763</v>
      </c>
      <c r="BJ26" s="162">
        <v>328</v>
      </c>
      <c r="BK26" s="97"/>
      <c r="BL26" s="97"/>
      <c r="BM26" s="97"/>
      <c r="BN26" s="97"/>
    </row>
    <row r="27" spans="1:66" ht="12.75">
      <c r="A27" s="79" t="s">
        <v>521</v>
      </c>
      <c r="B27" s="79" t="s">
        <v>293</v>
      </c>
      <c r="C27" s="79" t="s">
        <v>270</v>
      </c>
      <c r="D27" s="99">
        <v>5820</v>
      </c>
      <c r="E27" s="99">
        <v>1430</v>
      </c>
      <c r="F27" s="99" t="s">
        <v>346</v>
      </c>
      <c r="G27" s="99">
        <v>42</v>
      </c>
      <c r="H27" s="99">
        <v>19</v>
      </c>
      <c r="I27" s="99">
        <v>148</v>
      </c>
      <c r="J27" s="99">
        <v>598</v>
      </c>
      <c r="K27" s="99">
        <v>6</v>
      </c>
      <c r="L27" s="99">
        <v>1097</v>
      </c>
      <c r="M27" s="99">
        <v>437</v>
      </c>
      <c r="N27" s="99">
        <v>202</v>
      </c>
      <c r="O27" s="99">
        <v>151</v>
      </c>
      <c r="P27" s="159">
        <v>151</v>
      </c>
      <c r="Q27" s="99">
        <v>10</v>
      </c>
      <c r="R27" s="99">
        <v>19</v>
      </c>
      <c r="S27" s="99">
        <v>31</v>
      </c>
      <c r="T27" s="99">
        <v>33</v>
      </c>
      <c r="U27" s="99" t="s">
        <v>557</v>
      </c>
      <c r="V27" s="99">
        <v>35</v>
      </c>
      <c r="W27" s="99">
        <v>62</v>
      </c>
      <c r="X27" s="99">
        <v>28</v>
      </c>
      <c r="Y27" s="99">
        <v>114</v>
      </c>
      <c r="Z27" s="99">
        <v>35</v>
      </c>
      <c r="AA27" s="99" t="s">
        <v>557</v>
      </c>
      <c r="AB27" s="99" t="s">
        <v>557</v>
      </c>
      <c r="AC27" s="99" t="s">
        <v>557</v>
      </c>
      <c r="AD27" s="98" t="s">
        <v>326</v>
      </c>
      <c r="AE27" s="100">
        <v>0.24570446735395188</v>
      </c>
      <c r="AF27" s="100">
        <v>0.18</v>
      </c>
      <c r="AG27" s="98">
        <v>721.6494845360825</v>
      </c>
      <c r="AH27" s="98">
        <v>326.46048109965636</v>
      </c>
      <c r="AI27" s="100">
        <v>0.025</v>
      </c>
      <c r="AJ27" s="100">
        <v>0.732843</v>
      </c>
      <c r="AK27" s="100">
        <v>0.4</v>
      </c>
      <c r="AL27" s="100">
        <v>0.818046</v>
      </c>
      <c r="AM27" s="100">
        <v>0.585007</v>
      </c>
      <c r="AN27" s="100">
        <v>0.675585</v>
      </c>
      <c r="AO27" s="98">
        <v>2594.501718213058</v>
      </c>
      <c r="AP27" s="158">
        <v>1.15406929</v>
      </c>
      <c r="AQ27" s="100">
        <v>0.06622516556291391</v>
      </c>
      <c r="AR27" s="100">
        <v>0.5263157894736842</v>
      </c>
      <c r="AS27" s="98">
        <v>532.6460481099656</v>
      </c>
      <c r="AT27" s="98">
        <v>567.0103092783505</v>
      </c>
      <c r="AU27" s="98" t="s">
        <v>557</v>
      </c>
      <c r="AV27" s="98">
        <v>601.3745704467354</v>
      </c>
      <c r="AW27" s="98">
        <v>1065.2920962199312</v>
      </c>
      <c r="AX27" s="98">
        <v>481.0996563573883</v>
      </c>
      <c r="AY27" s="98">
        <v>1958.7628865979382</v>
      </c>
      <c r="AZ27" s="98">
        <v>601.3745704467354</v>
      </c>
      <c r="BA27" s="100" t="s">
        <v>557</v>
      </c>
      <c r="BB27" s="100" t="s">
        <v>557</v>
      </c>
      <c r="BC27" s="100" t="s">
        <v>557</v>
      </c>
      <c r="BD27" s="158">
        <v>0.9773379516999999</v>
      </c>
      <c r="BE27" s="158">
        <v>1.3535232540000002</v>
      </c>
      <c r="BF27" s="162">
        <v>816</v>
      </c>
      <c r="BG27" s="162">
        <v>15</v>
      </c>
      <c r="BH27" s="162">
        <v>1341</v>
      </c>
      <c r="BI27" s="162">
        <v>747</v>
      </c>
      <c r="BJ27" s="162">
        <v>299</v>
      </c>
      <c r="BK27" s="97"/>
      <c r="BL27" s="97"/>
      <c r="BM27" s="97"/>
      <c r="BN27" s="97"/>
    </row>
    <row r="28" spans="1:66" ht="12.75">
      <c r="A28" s="79" t="s">
        <v>514</v>
      </c>
      <c r="B28" s="79" t="s">
        <v>285</v>
      </c>
      <c r="C28" s="79" t="s">
        <v>270</v>
      </c>
      <c r="D28" s="99">
        <v>9829</v>
      </c>
      <c r="E28" s="99">
        <v>1731</v>
      </c>
      <c r="F28" s="99" t="s">
        <v>349</v>
      </c>
      <c r="G28" s="99">
        <v>56</v>
      </c>
      <c r="H28" s="99">
        <v>20</v>
      </c>
      <c r="I28" s="99">
        <v>169</v>
      </c>
      <c r="J28" s="99">
        <v>863</v>
      </c>
      <c r="K28" s="99">
        <v>438</v>
      </c>
      <c r="L28" s="99">
        <v>2004</v>
      </c>
      <c r="M28" s="99">
        <v>597</v>
      </c>
      <c r="N28" s="99">
        <v>260</v>
      </c>
      <c r="O28" s="99">
        <v>175</v>
      </c>
      <c r="P28" s="159">
        <v>175</v>
      </c>
      <c r="Q28" s="99">
        <v>19</v>
      </c>
      <c r="R28" s="99">
        <v>52</v>
      </c>
      <c r="S28" s="99">
        <v>53</v>
      </c>
      <c r="T28" s="99">
        <v>17</v>
      </c>
      <c r="U28" s="99">
        <v>11</v>
      </c>
      <c r="V28" s="99">
        <v>30</v>
      </c>
      <c r="W28" s="99">
        <v>51</v>
      </c>
      <c r="X28" s="99">
        <v>46</v>
      </c>
      <c r="Y28" s="99">
        <v>121</v>
      </c>
      <c r="Z28" s="99">
        <v>75</v>
      </c>
      <c r="AA28" s="99" t="s">
        <v>557</v>
      </c>
      <c r="AB28" s="99" t="s">
        <v>557</v>
      </c>
      <c r="AC28" s="99" t="s">
        <v>557</v>
      </c>
      <c r="AD28" s="98" t="s">
        <v>326</v>
      </c>
      <c r="AE28" s="100">
        <v>0.17611150676569334</v>
      </c>
      <c r="AF28" s="100">
        <v>0.13</v>
      </c>
      <c r="AG28" s="98">
        <v>569.7425984332078</v>
      </c>
      <c r="AH28" s="98">
        <v>203.47949944043137</v>
      </c>
      <c r="AI28" s="100">
        <v>0.017</v>
      </c>
      <c r="AJ28" s="100">
        <v>0.769162</v>
      </c>
      <c r="AK28" s="100">
        <v>0.763066</v>
      </c>
      <c r="AL28" s="100">
        <v>0.840604</v>
      </c>
      <c r="AM28" s="100">
        <v>0.561618</v>
      </c>
      <c r="AN28" s="100">
        <v>0.617577</v>
      </c>
      <c r="AO28" s="98">
        <v>1780.4456201037744</v>
      </c>
      <c r="AP28" s="158">
        <v>0.9384631348000001</v>
      </c>
      <c r="AQ28" s="100">
        <v>0.10857142857142857</v>
      </c>
      <c r="AR28" s="100">
        <v>0.36538461538461536</v>
      </c>
      <c r="AS28" s="98">
        <v>539.2206735171432</v>
      </c>
      <c r="AT28" s="98">
        <v>172.95757452436666</v>
      </c>
      <c r="AU28" s="98">
        <v>111.91372469223725</v>
      </c>
      <c r="AV28" s="98">
        <v>305.21924916064705</v>
      </c>
      <c r="AW28" s="98">
        <v>518.8727235731</v>
      </c>
      <c r="AX28" s="98">
        <v>468.00284871299215</v>
      </c>
      <c r="AY28" s="98">
        <v>1231.0509716146098</v>
      </c>
      <c r="AZ28" s="98">
        <v>763.0481229016177</v>
      </c>
      <c r="BA28" s="100" t="s">
        <v>557</v>
      </c>
      <c r="BB28" s="100" t="s">
        <v>557</v>
      </c>
      <c r="BC28" s="100" t="s">
        <v>557</v>
      </c>
      <c r="BD28" s="158">
        <v>0.8045677948</v>
      </c>
      <c r="BE28" s="158">
        <v>1.088272324</v>
      </c>
      <c r="BF28" s="162">
        <v>1122</v>
      </c>
      <c r="BG28" s="162">
        <v>574</v>
      </c>
      <c r="BH28" s="162">
        <v>2384</v>
      </c>
      <c r="BI28" s="162">
        <v>1063</v>
      </c>
      <c r="BJ28" s="162">
        <v>421</v>
      </c>
      <c r="BK28" s="97"/>
      <c r="BL28" s="97"/>
      <c r="BM28" s="97"/>
      <c r="BN28" s="97"/>
    </row>
    <row r="29" spans="1:66" ht="12.75">
      <c r="A29" s="79" t="s">
        <v>512</v>
      </c>
      <c r="B29" s="79" t="s">
        <v>283</v>
      </c>
      <c r="C29" s="79" t="s">
        <v>270</v>
      </c>
      <c r="D29" s="99">
        <v>7683</v>
      </c>
      <c r="E29" s="99">
        <v>1798</v>
      </c>
      <c r="F29" s="99" t="s">
        <v>348</v>
      </c>
      <c r="G29" s="99">
        <v>35</v>
      </c>
      <c r="H29" s="99">
        <v>31</v>
      </c>
      <c r="I29" s="99">
        <v>178</v>
      </c>
      <c r="J29" s="99">
        <v>467</v>
      </c>
      <c r="K29" s="99">
        <v>35</v>
      </c>
      <c r="L29" s="99">
        <v>1389</v>
      </c>
      <c r="M29" s="99">
        <v>410</v>
      </c>
      <c r="N29" s="99">
        <v>174</v>
      </c>
      <c r="O29" s="99">
        <v>196</v>
      </c>
      <c r="P29" s="159">
        <v>196</v>
      </c>
      <c r="Q29" s="99">
        <v>24</v>
      </c>
      <c r="R29" s="99">
        <v>37</v>
      </c>
      <c r="S29" s="99">
        <v>35</v>
      </c>
      <c r="T29" s="99">
        <v>38</v>
      </c>
      <c r="U29" s="99">
        <v>6</v>
      </c>
      <c r="V29" s="99">
        <v>52</v>
      </c>
      <c r="W29" s="99">
        <v>44</v>
      </c>
      <c r="X29" s="99">
        <v>51</v>
      </c>
      <c r="Y29" s="99">
        <v>128</v>
      </c>
      <c r="Z29" s="99">
        <v>47</v>
      </c>
      <c r="AA29" s="99" t="s">
        <v>557</v>
      </c>
      <c r="AB29" s="99" t="s">
        <v>557</v>
      </c>
      <c r="AC29" s="99" t="s">
        <v>557</v>
      </c>
      <c r="AD29" s="98" t="s">
        <v>326</v>
      </c>
      <c r="AE29" s="100">
        <v>0.23402316803332032</v>
      </c>
      <c r="AF29" s="100">
        <v>0.12</v>
      </c>
      <c r="AG29" s="98">
        <v>455.5512169725368</v>
      </c>
      <c r="AH29" s="98">
        <v>403.488220747104</v>
      </c>
      <c r="AI29" s="100">
        <v>0.023</v>
      </c>
      <c r="AJ29" s="100">
        <v>0.648611</v>
      </c>
      <c r="AK29" s="100">
        <v>0.648148</v>
      </c>
      <c r="AL29" s="100">
        <v>0.72081</v>
      </c>
      <c r="AM29" s="100">
        <v>0.548862</v>
      </c>
      <c r="AN29" s="100">
        <v>0.604167</v>
      </c>
      <c r="AO29" s="98">
        <v>2551.086815046206</v>
      </c>
      <c r="AP29" s="158">
        <v>1.223256226</v>
      </c>
      <c r="AQ29" s="100">
        <v>0.12244897959183673</v>
      </c>
      <c r="AR29" s="100">
        <v>0.6486486486486487</v>
      </c>
      <c r="AS29" s="98">
        <v>455.5512169725368</v>
      </c>
      <c r="AT29" s="98">
        <v>494.5984641416114</v>
      </c>
      <c r="AU29" s="98">
        <v>78.09449433814916</v>
      </c>
      <c r="AV29" s="98">
        <v>676.8189509306261</v>
      </c>
      <c r="AW29" s="98">
        <v>572.6929584797605</v>
      </c>
      <c r="AX29" s="98">
        <v>663.8032018742679</v>
      </c>
      <c r="AY29" s="98">
        <v>1666.0158792138488</v>
      </c>
      <c r="AZ29" s="98">
        <v>611.7402056488351</v>
      </c>
      <c r="BA29" s="100" t="s">
        <v>557</v>
      </c>
      <c r="BB29" s="100" t="s">
        <v>557</v>
      </c>
      <c r="BC29" s="100" t="s">
        <v>557</v>
      </c>
      <c r="BD29" s="158">
        <v>1.057989197</v>
      </c>
      <c r="BE29" s="158">
        <v>1.407019043</v>
      </c>
      <c r="BF29" s="162">
        <v>720</v>
      </c>
      <c r="BG29" s="162">
        <v>54</v>
      </c>
      <c r="BH29" s="162">
        <v>1927</v>
      </c>
      <c r="BI29" s="162">
        <v>747</v>
      </c>
      <c r="BJ29" s="162">
        <v>288</v>
      </c>
      <c r="BK29" s="97"/>
      <c r="BL29" s="97"/>
      <c r="BM29" s="97"/>
      <c r="BN29" s="97"/>
    </row>
    <row r="30" spans="1:66" ht="12.75">
      <c r="A30" s="79" t="s">
        <v>535</v>
      </c>
      <c r="B30" s="79" t="s">
        <v>308</v>
      </c>
      <c r="C30" s="79" t="s">
        <v>270</v>
      </c>
      <c r="D30" s="99">
        <v>3565</v>
      </c>
      <c r="E30" s="99">
        <v>1017</v>
      </c>
      <c r="F30" s="99" t="s">
        <v>349</v>
      </c>
      <c r="G30" s="99">
        <v>17</v>
      </c>
      <c r="H30" s="99">
        <v>11</v>
      </c>
      <c r="I30" s="99">
        <v>103</v>
      </c>
      <c r="J30" s="99">
        <v>396</v>
      </c>
      <c r="K30" s="99">
        <v>359</v>
      </c>
      <c r="L30" s="99">
        <v>635</v>
      </c>
      <c r="M30" s="99">
        <v>267</v>
      </c>
      <c r="N30" s="99">
        <v>107</v>
      </c>
      <c r="O30" s="99">
        <v>16</v>
      </c>
      <c r="P30" s="159">
        <v>16</v>
      </c>
      <c r="Q30" s="99" t="s">
        <v>557</v>
      </c>
      <c r="R30" s="99">
        <v>21</v>
      </c>
      <c r="S30" s="99" t="s">
        <v>557</v>
      </c>
      <c r="T30" s="99" t="s">
        <v>557</v>
      </c>
      <c r="U30" s="99" t="s">
        <v>557</v>
      </c>
      <c r="V30" s="99" t="s">
        <v>557</v>
      </c>
      <c r="W30" s="99">
        <v>29</v>
      </c>
      <c r="X30" s="99">
        <v>23</v>
      </c>
      <c r="Y30" s="99">
        <v>66</v>
      </c>
      <c r="Z30" s="99">
        <v>55</v>
      </c>
      <c r="AA30" s="99" t="s">
        <v>557</v>
      </c>
      <c r="AB30" s="99" t="s">
        <v>557</v>
      </c>
      <c r="AC30" s="99" t="s">
        <v>557</v>
      </c>
      <c r="AD30" s="98" t="s">
        <v>326</v>
      </c>
      <c r="AE30" s="100">
        <v>0.285273492286115</v>
      </c>
      <c r="AF30" s="100">
        <v>0.13</v>
      </c>
      <c r="AG30" s="98">
        <v>476.85834502103785</v>
      </c>
      <c r="AH30" s="98">
        <v>308.5553997194951</v>
      </c>
      <c r="AI30" s="100">
        <v>0.028999999999999998</v>
      </c>
      <c r="AJ30" s="100">
        <v>0.868421</v>
      </c>
      <c r="AK30" s="100">
        <v>0.82151</v>
      </c>
      <c r="AL30" s="100">
        <v>0.770631</v>
      </c>
      <c r="AM30" s="100">
        <v>0.605442</v>
      </c>
      <c r="AN30" s="100">
        <v>0.597765</v>
      </c>
      <c r="AO30" s="98">
        <v>448.8078541374474</v>
      </c>
      <c r="AP30" s="158">
        <v>0.18400112150000003</v>
      </c>
      <c r="AQ30" s="100" t="s">
        <v>557</v>
      </c>
      <c r="AR30" s="100" t="s">
        <v>557</v>
      </c>
      <c r="AS30" s="98" t="s">
        <v>557</v>
      </c>
      <c r="AT30" s="98" t="s">
        <v>557</v>
      </c>
      <c r="AU30" s="98" t="s">
        <v>557</v>
      </c>
      <c r="AV30" s="98" t="s">
        <v>557</v>
      </c>
      <c r="AW30" s="98">
        <v>813.4642356241234</v>
      </c>
      <c r="AX30" s="98">
        <v>645.1612903225806</v>
      </c>
      <c r="AY30" s="98">
        <v>1851.3323983169705</v>
      </c>
      <c r="AZ30" s="98">
        <v>1542.7769985974755</v>
      </c>
      <c r="BA30" s="100" t="s">
        <v>557</v>
      </c>
      <c r="BB30" s="100" t="s">
        <v>557</v>
      </c>
      <c r="BC30" s="100" t="s">
        <v>557</v>
      </c>
      <c r="BD30" s="158">
        <v>0.1051725388</v>
      </c>
      <c r="BE30" s="158">
        <v>0.29880630490000004</v>
      </c>
      <c r="BF30" s="162">
        <v>456</v>
      </c>
      <c r="BG30" s="162">
        <v>437</v>
      </c>
      <c r="BH30" s="162">
        <v>824</v>
      </c>
      <c r="BI30" s="162">
        <v>441</v>
      </c>
      <c r="BJ30" s="162">
        <v>179</v>
      </c>
      <c r="BK30" s="97"/>
      <c r="BL30" s="97"/>
      <c r="BM30" s="97"/>
      <c r="BN30" s="97"/>
    </row>
    <row r="31" spans="1:66" ht="12.75">
      <c r="A31" s="79" t="s">
        <v>547</v>
      </c>
      <c r="B31" s="79" t="s">
        <v>322</v>
      </c>
      <c r="C31" s="79" t="s">
        <v>270</v>
      </c>
      <c r="D31" s="99">
        <v>6126</v>
      </c>
      <c r="E31" s="99">
        <v>366</v>
      </c>
      <c r="F31" s="99" t="s">
        <v>347</v>
      </c>
      <c r="G31" s="99">
        <v>16</v>
      </c>
      <c r="H31" s="99">
        <v>9</v>
      </c>
      <c r="I31" s="99">
        <v>56</v>
      </c>
      <c r="J31" s="99">
        <v>140</v>
      </c>
      <c r="K31" s="99">
        <v>126</v>
      </c>
      <c r="L31" s="99">
        <v>927</v>
      </c>
      <c r="M31" s="99">
        <v>90</v>
      </c>
      <c r="N31" s="99">
        <v>45</v>
      </c>
      <c r="O31" s="99">
        <v>110</v>
      </c>
      <c r="P31" s="159">
        <v>110</v>
      </c>
      <c r="Q31" s="99">
        <v>7</v>
      </c>
      <c r="R31" s="99">
        <v>17</v>
      </c>
      <c r="S31" s="99">
        <v>43</v>
      </c>
      <c r="T31" s="99">
        <v>12</v>
      </c>
      <c r="U31" s="99" t="s">
        <v>557</v>
      </c>
      <c r="V31" s="99">
        <v>10</v>
      </c>
      <c r="W31" s="99">
        <v>23</v>
      </c>
      <c r="X31" s="99">
        <v>25</v>
      </c>
      <c r="Y31" s="99">
        <v>84</v>
      </c>
      <c r="Z31" s="99">
        <v>25</v>
      </c>
      <c r="AA31" s="99" t="s">
        <v>557</v>
      </c>
      <c r="AB31" s="99" t="s">
        <v>557</v>
      </c>
      <c r="AC31" s="99" t="s">
        <v>557</v>
      </c>
      <c r="AD31" s="98" t="s">
        <v>326</v>
      </c>
      <c r="AE31" s="100">
        <v>0.059745347698334964</v>
      </c>
      <c r="AF31" s="100">
        <v>0.24</v>
      </c>
      <c r="AG31" s="98">
        <v>261.1818478615736</v>
      </c>
      <c r="AH31" s="98">
        <v>146.91478942213516</v>
      </c>
      <c r="AI31" s="100">
        <v>0.009000000000000001</v>
      </c>
      <c r="AJ31" s="100">
        <v>0.463576</v>
      </c>
      <c r="AK31" s="100">
        <v>0.475472</v>
      </c>
      <c r="AL31" s="100">
        <v>0.608268</v>
      </c>
      <c r="AM31" s="100">
        <v>0.310345</v>
      </c>
      <c r="AN31" s="100">
        <v>0.371901</v>
      </c>
      <c r="AO31" s="98">
        <v>1795.6252040483187</v>
      </c>
      <c r="AP31" s="158">
        <v>1.4728932190000001</v>
      </c>
      <c r="AQ31" s="100">
        <v>0.06363636363636363</v>
      </c>
      <c r="AR31" s="100">
        <v>0.4117647058823529</v>
      </c>
      <c r="AS31" s="98">
        <v>701.9262161279792</v>
      </c>
      <c r="AT31" s="98">
        <v>195.88638589618023</v>
      </c>
      <c r="AU31" s="98" t="s">
        <v>557</v>
      </c>
      <c r="AV31" s="98">
        <v>163.23865491348351</v>
      </c>
      <c r="AW31" s="98">
        <v>375.4489063010121</v>
      </c>
      <c r="AX31" s="98">
        <v>408.0966372837088</v>
      </c>
      <c r="AY31" s="98">
        <v>1371.2047012732614</v>
      </c>
      <c r="AZ31" s="98">
        <v>408.0966372837088</v>
      </c>
      <c r="BA31" s="100" t="s">
        <v>557</v>
      </c>
      <c r="BB31" s="100" t="s">
        <v>557</v>
      </c>
      <c r="BC31" s="100" t="s">
        <v>557</v>
      </c>
      <c r="BD31" s="158">
        <v>1.210539093</v>
      </c>
      <c r="BE31" s="158">
        <v>1.77523468</v>
      </c>
      <c r="BF31" s="162">
        <v>302</v>
      </c>
      <c r="BG31" s="162">
        <v>265</v>
      </c>
      <c r="BH31" s="162">
        <v>1524</v>
      </c>
      <c r="BI31" s="162">
        <v>290</v>
      </c>
      <c r="BJ31" s="162">
        <v>121</v>
      </c>
      <c r="BK31" s="97"/>
      <c r="BL31" s="97"/>
      <c r="BM31" s="97"/>
      <c r="BN31" s="97"/>
    </row>
    <row r="32" spans="1:66" ht="12.75">
      <c r="A32" s="79" t="s">
        <v>532</v>
      </c>
      <c r="B32" s="79" t="s">
        <v>305</v>
      </c>
      <c r="C32" s="79" t="s">
        <v>270</v>
      </c>
      <c r="D32" s="99">
        <v>8777</v>
      </c>
      <c r="E32" s="99">
        <v>1645</v>
      </c>
      <c r="F32" s="99" t="s">
        <v>349</v>
      </c>
      <c r="G32" s="99">
        <v>33</v>
      </c>
      <c r="H32" s="99">
        <v>25</v>
      </c>
      <c r="I32" s="99">
        <v>171</v>
      </c>
      <c r="J32" s="99">
        <v>728</v>
      </c>
      <c r="K32" s="99">
        <v>641</v>
      </c>
      <c r="L32" s="99">
        <v>1778</v>
      </c>
      <c r="M32" s="99">
        <v>527</v>
      </c>
      <c r="N32" s="99">
        <v>237</v>
      </c>
      <c r="O32" s="99">
        <v>158</v>
      </c>
      <c r="P32" s="159">
        <v>158</v>
      </c>
      <c r="Q32" s="99">
        <v>26</v>
      </c>
      <c r="R32" s="99">
        <v>41</v>
      </c>
      <c r="S32" s="99">
        <v>41</v>
      </c>
      <c r="T32" s="99">
        <v>18</v>
      </c>
      <c r="U32" s="99">
        <v>6</v>
      </c>
      <c r="V32" s="99">
        <v>25</v>
      </c>
      <c r="W32" s="99">
        <v>60</v>
      </c>
      <c r="X32" s="99">
        <v>62</v>
      </c>
      <c r="Y32" s="99">
        <v>140</v>
      </c>
      <c r="Z32" s="99">
        <v>59</v>
      </c>
      <c r="AA32" s="99" t="s">
        <v>557</v>
      </c>
      <c r="AB32" s="99" t="s">
        <v>557</v>
      </c>
      <c r="AC32" s="99" t="s">
        <v>557</v>
      </c>
      <c r="AD32" s="98" t="s">
        <v>326</v>
      </c>
      <c r="AE32" s="100">
        <v>0.1874216702745813</v>
      </c>
      <c r="AF32" s="100">
        <v>0.14</v>
      </c>
      <c r="AG32" s="98">
        <v>375.98268200979834</v>
      </c>
      <c r="AH32" s="98">
        <v>284.83536515893815</v>
      </c>
      <c r="AI32" s="100">
        <v>0.019</v>
      </c>
      <c r="AJ32" s="100">
        <v>0.728729</v>
      </c>
      <c r="AK32" s="100">
        <v>0.723476</v>
      </c>
      <c r="AL32" s="100">
        <v>0.825441</v>
      </c>
      <c r="AM32" s="100">
        <v>0.547817</v>
      </c>
      <c r="AN32" s="100">
        <v>0.603053</v>
      </c>
      <c r="AO32" s="98">
        <v>1800.159507804489</v>
      </c>
      <c r="AP32" s="158">
        <v>0.9255656433</v>
      </c>
      <c r="AQ32" s="100">
        <v>0.16455696202531644</v>
      </c>
      <c r="AR32" s="100">
        <v>0.6341463414634146</v>
      </c>
      <c r="AS32" s="98">
        <v>467.12999886065853</v>
      </c>
      <c r="AT32" s="98">
        <v>205.08146291443546</v>
      </c>
      <c r="AU32" s="98">
        <v>68.36048763814516</v>
      </c>
      <c r="AV32" s="98">
        <v>284.83536515893815</v>
      </c>
      <c r="AW32" s="98">
        <v>683.6048763814515</v>
      </c>
      <c r="AX32" s="98">
        <v>706.3917055941665</v>
      </c>
      <c r="AY32" s="98">
        <v>1595.0780448900537</v>
      </c>
      <c r="AZ32" s="98">
        <v>672.211461775094</v>
      </c>
      <c r="BA32" s="100" t="s">
        <v>557</v>
      </c>
      <c r="BB32" s="100" t="s">
        <v>557</v>
      </c>
      <c r="BC32" s="100" t="s">
        <v>557</v>
      </c>
      <c r="BD32" s="158">
        <v>0.7868714905</v>
      </c>
      <c r="BE32" s="158">
        <v>1.081665878</v>
      </c>
      <c r="BF32" s="162">
        <v>999</v>
      </c>
      <c r="BG32" s="162">
        <v>886</v>
      </c>
      <c r="BH32" s="162">
        <v>2154</v>
      </c>
      <c r="BI32" s="162">
        <v>962</v>
      </c>
      <c r="BJ32" s="162">
        <v>393</v>
      </c>
      <c r="BK32" s="97"/>
      <c r="BL32" s="97"/>
      <c r="BM32" s="97"/>
      <c r="BN32" s="97"/>
    </row>
    <row r="33" spans="1:66" ht="12.75">
      <c r="A33" s="79" t="s">
        <v>533</v>
      </c>
      <c r="B33" s="79" t="s">
        <v>306</v>
      </c>
      <c r="C33" s="79" t="s">
        <v>270</v>
      </c>
      <c r="D33" s="99">
        <v>10691</v>
      </c>
      <c r="E33" s="99">
        <v>1948</v>
      </c>
      <c r="F33" s="99" t="s">
        <v>348</v>
      </c>
      <c r="G33" s="99">
        <v>40</v>
      </c>
      <c r="H33" s="99">
        <v>26</v>
      </c>
      <c r="I33" s="99">
        <v>227</v>
      </c>
      <c r="J33" s="99">
        <v>880</v>
      </c>
      <c r="K33" s="99">
        <v>849</v>
      </c>
      <c r="L33" s="99">
        <v>2061</v>
      </c>
      <c r="M33" s="99">
        <v>650</v>
      </c>
      <c r="N33" s="99">
        <v>288</v>
      </c>
      <c r="O33" s="99">
        <v>179</v>
      </c>
      <c r="P33" s="159">
        <v>179</v>
      </c>
      <c r="Q33" s="99">
        <v>24</v>
      </c>
      <c r="R33" s="99">
        <v>43</v>
      </c>
      <c r="S33" s="99">
        <v>30</v>
      </c>
      <c r="T33" s="99">
        <v>32</v>
      </c>
      <c r="U33" s="99" t="s">
        <v>557</v>
      </c>
      <c r="V33" s="99">
        <v>35</v>
      </c>
      <c r="W33" s="99">
        <v>72</v>
      </c>
      <c r="X33" s="99">
        <v>67</v>
      </c>
      <c r="Y33" s="99">
        <v>156</v>
      </c>
      <c r="Z33" s="99">
        <v>50</v>
      </c>
      <c r="AA33" s="99" t="s">
        <v>557</v>
      </c>
      <c r="AB33" s="99" t="s">
        <v>557</v>
      </c>
      <c r="AC33" s="99" t="s">
        <v>557</v>
      </c>
      <c r="AD33" s="98" t="s">
        <v>326</v>
      </c>
      <c r="AE33" s="100">
        <v>0.18220933495463473</v>
      </c>
      <c r="AF33" s="100">
        <v>0.12</v>
      </c>
      <c r="AG33" s="98">
        <v>374.14647834627254</v>
      </c>
      <c r="AH33" s="98">
        <v>243.19521092507716</v>
      </c>
      <c r="AI33" s="100">
        <v>0.021</v>
      </c>
      <c r="AJ33" s="100">
        <v>0.721903</v>
      </c>
      <c r="AK33" s="100">
        <v>0.726262</v>
      </c>
      <c r="AL33" s="100">
        <v>0.796368</v>
      </c>
      <c r="AM33" s="100">
        <v>0.553663</v>
      </c>
      <c r="AN33" s="100">
        <v>0.6</v>
      </c>
      <c r="AO33" s="98">
        <v>1674.3054905995698</v>
      </c>
      <c r="AP33" s="158">
        <v>0.8793877411</v>
      </c>
      <c r="AQ33" s="100">
        <v>0.1340782122905028</v>
      </c>
      <c r="AR33" s="100">
        <v>0.5581395348837209</v>
      </c>
      <c r="AS33" s="98">
        <v>280.6098587597044</v>
      </c>
      <c r="AT33" s="98">
        <v>299.317182677018</v>
      </c>
      <c r="AU33" s="98" t="s">
        <v>557</v>
      </c>
      <c r="AV33" s="98">
        <v>327.3781685529885</v>
      </c>
      <c r="AW33" s="98">
        <v>673.4636610232906</v>
      </c>
      <c r="AX33" s="98">
        <v>626.6953512300065</v>
      </c>
      <c r="AY33" s="98">
        <v>1459.171265550463</v>
      </c>
      <c r="AZ33" s="98">
        <v>467.6830979328407</v>
      </c>
      <c r="BA33" s="100" t="s">
        <v>557</v>
      </c>
      <c r="BB33" s="100" t="s">
        <v>557</v>
      </c>
      <c r="BC33" s="100" t="s">
        <v>557</v>
      </c>
      <c r="BD33" s="158">
        <v>0.7552765656</v>
      </c>
      <c r="BE33" s="158">
        <v>1.018073807</v>
      </c>
      <c r="BF33" s="162">
        <v>1219</v>
      </c>
      <c r="BG33" s="162">
        <v>1169</v>
      </c>
      <c r="BH33" s="162">
        <v>2588</v>
      </c>
      <c r="BI33" s="162">
        <v>1174</v>
      </c>
      <c r="BJ33" s="162">
        <v>480</v>
      </c>
      <c r="BK33" s="97"/>
      <c r="BL33" s="97"/>
      <c r="BM33" s="97"/>
      <c r="BN33" s="97"/>
    </row>
    <row r="34" spans="1:66" ht="12.75">
      <c r="A34" s="79" t="s">
        <v>540</v>
      </c>
      <c r="B34" s="79" t="s">
        <v>315</v>
      </c>
      <c r="C34" s="79" t="s">
        <v>270</v>
      </c>
      <c r="D34" s="99">
        <v>2572</v>
      </c>
      <c r="E34" s="99">
        <v>380</v>
      </c>
      <c r="F34" s="99" t="s">
        <v>346</v>
      </c>
      <c r="G34" s="99">
        <v>10</v>
      </c>
      <c r="H34" s="99" t="s">
        <v>557</v>
      </c>
      <c r="I34" s="99">
        <v>28</v>
      </c>
      <c r="J34" s="99">
        <v>168</v>
      </c>
      <c r="K34" s="99" t="s">
        <v>557</v>
      </c>
      <c r="L34" s="99">
        <v>425</v>
      </c>
      <c r="M34" s="99">
        <v>103</v>
      </c>
      <c r="N34" s="99">
        <v>47</v>
      </c>
      <c r="O34" s="99">
        <v>13</v>
      </c>
      <c r="P34" s="159">
        <v>13</v>
      </c>
      <c r="Q34" s="99">
        <v>7</v>
      </c>
      <c r="R34" s="99">
        <v>10</v>
      </c>
      <c r="S34" s="99" t="s">
        <v>557</v>
      </c>
      <c r="T34" s="99" t="s">
        <v>557</v>
      </c>
      <c r="U34" s="99" t="s">
        <v>557</v>
      </c>
      <c r="V34" s="99" t="s">
        <v>557</v>
      </c>
      <c r="W34" s="99">
        <v>6</v>
      </c>
      <c r="X34" s="99">
        <v>13</v>
      </c>
      <c r="Y34" s="99">
        <v>28</v>
      </c>
      <c r="Z34" s="99">
        <v>11</v>
      </c>
      <c r="AA34" s="99" t="s">
        <v>557</v>
      </c>
      <c r="AB34" s="99" t="s">
        <v>557</v>
      </c>
      <c r="AC34" s="99" t="s">
        <v>557</v>
      </c>
      <c r="AD34" s="98" t="s">
        <v>326</v>
      </c>
      <c r="AE34" s="100">
        <v>0.14774494556765164</v>
      </c>
      <c r="AF34" s="100">
        <v>0.18</v>
      </c>
      <c r="AG34" s="98">
        <v>388.8024883359254</v>
      </c>
      <c r="AH34" s="98" t="s">
        <v>557</v>
      </c>
      <c r="AI34" s="100">
        <v>0.011000000000000001</v>
      </c>
      <c r="AJ34" s="100">
        <v>0.563758</v>
      </c>
      <c r="AK34" s="100" t="s">
        <v>557</v>
      </c>
      <c r="AL34" s="100">
        <v>0.691057</v>
      </c>
      <c r="AM34" s="100">
        <v>0.420408</v>
      </c>
      <c r="AN34" s="100">
        <v>0.494737</v>
      </c>
      <c r="AO34" s="98">
        <v>505.44323483670297</v>
      </c>
      <c r="AP34" s="158">
        <v>0.2877321243</v>
      </c>
      <c r="AQ34" s="100">
        <v>0.5384615384615384</v>
      </c>
      <c r="AR34" s="100">
        <v>0.7</v>
      </c>
      <c r="AS34" s="98" t="s">
        <v>557</v>
      </c>
      <c r="AT34" s="98" t="s">
        <v>557</v>
      </c>
      <c r="AU34" s="98" t="s">
        <v>557</v>
      </c>
      <c r="AV34" s="98" t="s">
        <v>557</v>
      </c>
      <c r="AW34" s="98">
        <v>233.28149300155522</v>
      </c>
      <c r="AX34" s="98">
        <v>505.44323483670297</v>
      </c>
      <c r="AY34" s="98">
        <v>1088.646967340591</v>
      </c>
      <c r="AZ34" s="98">
        <v>427.6827371695179</v>
      </c>
      <c r="BA34" s="100" t="s">
        <v>557</v>
      </c>
      <c r="BB34" s="100" t="s">
        <v>557</v>
      </c>
      <c r="BC34" s="100" t="s">
        <v>557</v>
      </c>
      <c r="BD34" s="158">
        <v>0.15320524219999998</v>
      </c>
      <c r="BE34" s="158">
        <v>0.4920306778</v>
      </c>
      <c r="BF34" s="162">
        <v>298</v>
      </c>
      <c r="BG34" s="162" t="s">
        <v>557</v>
      </c>
      <c r="BH34" s="162">
        <v>615</v>
      </c>
      <c r="BI34" s="162">
        <v>245</v>
      </c>
      <c r="BJ34" s="162">
        <v>95</v>
      </c>
      <c r="BK34" s="97"/>
      <c r="BL34" s="97"/>
      <c r="BM34" s="97"/>
      <c r="BN34" s="97"/>
    </row>
    <row r="35" spans="1:66" ht="12.75">
      <c r="A35" s="79" t="s">
        <v>519</v>
      </c>
      <c r="B35" s="79" t="s">
        <v>291</v>
      </c>
      <c r="C35" s="79" t="s">
        <v>270</v>
      </c>
      <c r="D35" s="99">
        <v>16826</v>
      </c>
      <c r="E35" s="99">
        <v>1755</v>
      </c>
      <c r="F35" s="99" t="s">
        <v>349</v>
      </c>
      <c r="G35" s="99">
        <v>46</v>
      </c>
      <c r="H35" s="99">
        <v>20</v>
      </c>
      <c r="I35" s="99">
        <v>196</v>
      </c>
      <c r="J35" s="99">
        <v>948</v>
      </c>
      <c r="K35" s="99">
        <v>910</v>
      </c>
      <c r="L35" s="99">
        <v>1908</v>
      </c>
      <c r="M35" s="99">
        <v>604</v>
      </c>
      <c r="N35" s="99">
        <v>253</v>
      </c>
      <c r="O35" s="99">
        <v>199</v>
      </c>
      <c r="P35" s="159">
        <v>199</v>
      </c>
      <c r="Q35" s="99">
        <v>19</v>
      </c>
      <c r="R35" s="99">
        <v>39</v>
      </c>
      <c r="S35" s="99">
        <v>33</v>
      </c>
      <c r="T35" s="99">
        <v>45</v>
      </c>
      <c r="U35" s="99">
        <v>8</v>
      </c>
      <c r="V35" s="99">
        <v>26</v>
      </c>
      <c r="W35" s="99">
        <v>78</v>
      </c>
      <c r="X35" s="99">
        <v>79</v>
      </c>
      <c r="Y35" s="99">
        <v>166</v>
      </c>
      <c r="Z35" s="99">
        <v>63</v>
      </c>
      <c r="AA35" s="99" t="s">
        <v>557</v>
      </c>
      <c r="AB35" s="99" t="s">
        <v>557</v>
      </c>
      <c r="AC35" s="99" t="s">
        <v>557</v>
      </c>
      <c r="AD35" s="98" t="s">
        <v>326</v>
      </c>
      <c r="AE35" s="100">
        <v>0.10430286461428741</v>
      </c>
      <c r="AF35" s="100">
        <v>0.16</v>
      </c>
      <c r="AG35" s="98">
        <v>273.38642576964224</v>
      </c>
      <c r="AH35" s="98">
        <v>118.86366337810531</v>
      </c>
      <c r="AI35" s="100">
        <v>0.012</v>
      </c>
      <c r="AJ35" s="100">
        <v>0.738318</v>
      </c>
      <c r="AK35" s="100">
        <v>0.745902</v>
      </c>
      <c r="AL35" s="100">
        <v>0.729079</v>
      </c>
      <c r="AM35" s="100">
        <v>0.547101</v>
      </c>
      <c r="AN35" s="100">
        <v>0.578947</v>
      </c>
      <c r="AO35" s="98">
        <v>1182.693450612148</v>
      </c>
      <c r="AP35" s="158">
        <v>0.8957039642</v>
      </c>
      <c r="AQ35" s="100">
        <v>0.09547738693467336</v>
      </c>
      <c r="AR35" s="100">
        <v>0.48717948717948717</v>
      </c>
      <c r="AS35" s="98">
        <v>196.12504457387377</v>
      </c>
      <c r="AT35" s="98">
        <v>267.44324260073694</v>
      </c>
      <c r="AU35" s="98">
        <v>47.54546535124213</v>
      </c>
      <c r="AV35" s="98">
        <v>154.5227623915369</v>
      </c>
      <c r="AW35" s="98">
        <v>463.5682871746107</v>
      </c>
      <c r="AX35" s="98">
        <v>469.511470343516</v>
      </c>
      <c r="AY35" s="98">
        <v>986.5684060382741</v>
      </c>
      <c r="AZ35" s="98">
        <v>374.4205396410317</v>
      </c>
      <c r="BA35" s="100" t="s">
        <v>557</v>
      </c>
      <c r="BB35" s="100" t="s">
        <v>557</v>
      </c>
      <c r="BC35" s="100" t="s">
        <v>557</v>
      </c>
      <c r="BD35" s="158">
        <v>0.7755728912</v>
      </c>
      <c r="BE35" s="158">
        <v>1.029171677</v>
      </c>
      <c r="BF35" s="162">
        <v>1284</v>
      </c>
      <c r="BG35" s="162">
        <v>1220</v>
      </c>
      <c r="BH35" s="162">
        <v>2617</v>
      </c>
      <c r="BI35" s="162">
        <v>1104</v>
      </c>
      <c r="BJ35" s="162">
        <v>437</v>
      </c>
      <c r="BK35" s="97"/>
      <c r="BL35" s="97"/>
      <c r="BM35" s="97"/>
      <c r="BN35" s="97"/>
    </row>
    <row r="36" spans="1:66" ht="12.75">
      <c r="A36" s="79" t="s">
        <v>513</v>
      </c>
      <c r="B36" s="79" t="s">
        <v>284</v>
      </c>
      <c r="C36" s="79" t="s">
        <v>270</v>
      </c>
      <c r="D36" s="99">
        <v>30952</v>
      </c>
      <c r="E36" s="99">
        <v>5722</v>
      </c>
      <c r="F36" s="99" t="s">
        <v>349</v>
      </c>
      <c r="G36" s="99">
        <v>158</v>
      </c>
      <c r="H36" s="99">
        <v>74</v>
      </c>
      <c r="I36" s="99">
        <v>741</v>
      </c>
      <c r="J36" s="99">
        <v>3111</v>
      </c>
      <c r="K36" s="99">
        <v>1326</v>
      </c>
      <c r="L36" s="99">
        <v>6111</v>
      </c>
      <c r="M36" s="99">
        <v>2315</v>
      </c>
      <c r="N36" s="99">
        <v>1030</v>
      </c>
      <c r="O36" s="99">
        <v>505</v>
      </c>
      <c r="P36" s="159">
        <v>505</v>
      </c>
      <c r="Q36" s="99">
        <v>64</v>
      </c>
      <c r="R36" s="99">
        <v>149</v>
      </c>
      <c r="S36" s="99">
        <v>148</v>
      </c>
      <c r="T36" s="99">
        <v>36</v>
      </c>
      <c r="U36" s="99">
        <v>19</v>
      </c>
      <c r="V36" s="99">
        <v>94</v>
      </c>
      <c r="W36" s="99">
        <v>169</v>
      </c>
      <c r="X36" s="99">
        <v>167</v>
      </c>
      <c r="Y36" s="99">
        <v>324</v>
      </c>
      <c r="Z36" s="99">
        <v>237</v>
      </c>
      <c r="AA36" s="99" t="s">
        <v>557</v>
      </c>
      <c r="AB36" s="99" t="s">
        <v>557</v>
      </c>
      <c r="AC36" s="99" t="s">
        <v>557</v>
      </c>
      <c r="AD36" s="98" t="s">
        <v>326</v>
      </c>
      <c r="AE36" s="100">
        <v>0.18486689066942363</v>
      </c>
      <c r="AF36" s="100">
        <v>0.13</v>
      </c>
      <c r="AG36" s="98">
        <v>510.46782114241404</v>
      </c>
      <c r="AH36" s="98">
        <v>239.07986559834583</v>
      </c>
      <c r="AI36" s="100">
        <v>0.024</v>
      </c>
      <c r="AJ36" s="100">
        <v>0.755097</v>
      </c>
      <c r="AK36" s="100">
        <v>0.813497</v>
      </c>
      <c r="AL36" s="100">
        <v>0.814366</v>
      </c>
      <c r="AM36" s="100">
        <v>0.59912</v>
      </c>
      <c r="AN36" s="100">
        <v>0.648615</v>
      </c>
      <c r="AO36" s="98">
        <v>1631.5585422589816</v>
      </c>
      <c r="AP36" s="158">
        <v>0.828967514</v>
      </c>
      <c r="AQ36" s="100">
        <v>0.12673267326732673</v>
      </c>
      <c r="AR36" s="100">
        <v>0.42953020134228187</v>
      </c>
      <c r="AS36" s="98">
        <v>478.15973119669167</v>
      </c>
      <c r="AT36" s="98">
        <v>116.30912380460067</v>
      </c>
      <c r="AU36" s="98">
        <v>61.38537089687258</v>
      </c>
      <c r="AV36" s="98">
        <v>303.69604548979066</v>
      </c>
      <c r="AW36" s="98">
        <v>546.0067200827087</v>
      </c>
      <c r="AX36" s="98">
        <v>539.5451020935642</v>
      </c>
      <c r="AY36" s="98">
        <v>1046.7821142414061</v>
      </c>
      <c r="AZ36" s="98">
        <v>765.7017317136211</v>
      </c>
      <c r="BA36" s="100" t="s">
        <v>557</v>
      </c>
      <c r="BB36" s="100" t="s">
        <v>557</v>
      </c>
      <c r="BC36" s="100" t="s">
        <v>557</v>
      </c>
      <c r="BD36" s="158">
        <v>0.7582331085</v>
      </c>
      <c r="BE36" s="158">
        <v>0.9045238495</v>
      </c>
      <c r="BF36" s="162">
        <v>4120</v>
      </c>
      <c r="BG36" s="162">
        <v>1630</v>
      </c>
      <c r="BH36" s="162">
        <v>7504</v>
      </c>
      <c r="BI36" s="162">
        <v>3864</v>
      </c>
      <c r="BJ36" s="162">
        <v>1588</v>
      </c>
      <c r="BK36" s="97"/>
      <c r="BL36" s="97"/>
      <c r="BM36" s="97"/>
      <c r="BN36" s="97"/>
    </row>
    <row r="37" spans="1:66" ht="12.75">
      <c r="A37" s="79" t="s">
        <v>562</v>
      </c>
      <c r="B37" s="79" t="s">
        <v>312</v>
      </c>
      <c r="C37" s="79" t="s">
        <v>270</v>
      </c>
      <c r="D37" s="99">
        <v>8346</v>
      </c>
      <c r="E37" s="99">
        <v>1498</v>
      </c>
      <c r="F37" s="99" t="s">
        <v>349</v>
      </c>
      <c r="G37" s="99">
        <v>41</v>
      </c>
      <c r="H37" s="99">
        <v>29</v>
      </c>
      <c r="I37" s="99">
        <v>169</v>
      </c>
      <c r="J37" s="99">
        <v>667</v>
      </c>
      <c r="K37" s="99">
        <v>306</v>
      </c>
      <c r="L37" s="99">
        <v>1545</v>
      </c>
      <c r="M37" s="99">
        <v>523</v>
      </c>
      <c r="N37" s="99">
        <v>234</v>
      </c>
      <c r="O37" s="99">
        <v>180</v>
      </c>
      <c r="P37" s="159">
        <v>180</v>
      </c>
      <c r="Q37" s="99">
        <v>27</v>
      </c>
      <c r="R37" s="99">
        <v>36</v>
      </c>
      <c r="S37" s="99">
        <v>28</v>
      </c>
      <c r="T37" s="99">
        <v>20</v>
      </c>
      <c r="U37" s="99">
        <v>8</v>
      </c>
      <c r="V37" s="99">
        <v>20</v>
      </c>
      <c r="W37" s="99">
        <v>49</v>
      </c>
      <c r="X37" s="99">
        <v>56</v>
      </c>
      <c r="Y37" s="99">
        <v>121</v>
      </c>
      <c r="Z37" s="99">
        <v>62</v>
      </c>
      <c r="AA37" s="99" t="s">
        <v>557</v>
      </c>
      <c r="AB37" s="99" t="s">
        <v>557</v>
      </c>
      <c r="AC37" s="99" t="s">
        <v>557</v>
      </c>
      <c r="AD37" s="98" t="s">
        <v>326</v>
      </c>
      <c r="AE37" s="100">
        <v>0.1794871794871795</v>
      </c>
      <c r="AF37" s="100">
        <v>0.13</v>
      </c>
      <c r="AG37" s="98">
        <v>491.25329499161273</v>
      </c>
      <c r="AH37" s="98">
        <v>347.4718427989456</v>
      </c>
      <c r="AI37" s="100">
        <v>0.02</v>
      </c>
      <c r="AJ37" s="100">
        <v>0.671702</v>
      </c>
      <c r="AK37" s="100">
        <v>0.716628</v>
      </c>
      <c r="AL37" s="100">
        <v>0.760335</v>
      </c>
      <c r="AM37" s="100">
        <v>0.588964</v>
      </c>
      <c r="AN37" s="100">
        <v>0.624</v>
      </c>
      <c r="AO37" s="98">
        <v>2156.721782890007</v>
      </c>
      <c r="AP37" s="158">
        <v>1.1063412479999999</v>
      </c>
      <c r="AQ37" s="100">
        <v>0.15</v>
      </c>
      <c r="AR37" s="100">
        <v>0.75</v>
      </c>
      <c r="AS37" s="98">
        <v>335.49005511622335</v>
      </c>
      <c r="AT37" s="98">
        <v>239.63575365444524</v>
      </c>
      <c r="AU37" s="98">
        <v>95.85430146177809</v>
      </c>
      <c r="AV37" s="98">
        <v>239.63575365444524</v>
      </c>
      <c r="AW37" s="98">
        <v>587.1075964533909</v>
      </c>
      <c r="AX37" s="98">
        <v>670.9801102324467</v>
      </c>
      <c r="AY37" s="98">
        <v>1449.7963096093938</v>
      </c>
      <c r="AZ37" s="98">
        <v>742.8708363287802</v>
      </c>
      <c r="BA37" s="100" t="s">
        <v>557</v>
      </c>
      <c r="BB37" s="100" t="s">
        <v>557</v>
      </c>
      <c r="BC37" s="100" t="s">
        <v>557</v>
      </c>
      <c r="BD37" s="158">
        <v>0.9506169891</v>
      </c>
      <c r="BE37" s="158">
        <v>1.280298767</v>
      </c>
      <c r="BF37" s="162">
        <v>993</v>
      </c>
      <c r="BG37" s="162">
        <v>427</v>
      </c>
      <c r="BH37" s="162">
        <v>2032</v>
      </c>
      <c r="BI37" s="162">
        <v>888</v>
      </c>
      <c r="BJ37" s="162">
        <v>375</v>
      </c>
      <c r="BK37" s="97"/>
      <c r="BL37" s="97"/>
      <c r="BM37" s="97"/>
      <c r="BN37" s="97"/>
    </row>
    <row r="38" spans="1:66" ht="12.75">
      <c r="A38" s="79" t="s">
        <v>542</v>
      </c>
      <c r="B38" s="79" t="s">
        <v>317</v>
      </c>
      <c r="C38" s="79" t="s">
        <v>270</v>
      </c>
      <c r="D38" s="99">
        <v>8436</v>
      </c>
      <c r="E38" s="99">
        <v>1088</v>
      </c>
      <c r="F38" s="99" t="s">
        <v>348</v>
      </c>
      <c r="G38" s="99">
        <v>37</v>
      </c>
      <c r="H38" s="99">
        <v>11</v>
      </c>
      <c r="I38" s="99">
        <v>103</v>
      </c>
      <c r="J38" s="99">
        <v>874</v>
      </c>
      <c r="K38" s="99">
        <v>787</v>
      </c>
      <c r="L38" s="99">
        <v>1795</v>
      </c>
      <c r="M38" s="99">
        <v>474</v>
      </c>
      <c r="N38" s="99">
        <v>217</v>
      </c>
      <c r="O38" s="99">
        <v>76</v>
      </c>
      <c r="P38" s="159">
        <v>76</v>
      </c>
      <c r="Q38" s="99">
        <v>9</v>
      </c>
      <c r="R38" s="99">
        <v>27</v>
      </c>
      <c r="S38" s="99">
        <v>18</v>
      </c>
      <c r="T38" s="99">
        <v>8</v>
      </c>
      <c r="U38" s="99" t="s">
        <v>557</v>
      </c>
      <c r="V38" s="99">
        <v>17</v>
      </c>
      <c r="W38" s="99">
        <v>65</v>
      </c>
      <c r="X38" s="99">
        <v>52</v>
      </c>
      <c r="Y38" s="99">
        <v>98</v>
      </c>
      <c r="Z38" s="99">
        <v>41</v>
      </c>
      <c r="AA38" s="99" t="s">
        <v>557</v>
      </c>
      <c r="AB38" s="99" t="s">
        <v>557</v>
      </c>
      <c r="AC38" s="99" t="s">
        <v>557</v>
      </c>
      <c r="AD38" s="98" t="s">
        <v>326</v>
      </c>
      <c r="AE38" s="100">
        <v>0.1289710763394974</v>
      </c>
      <c r="AF38" s="100">
        <v>0.1</v>
      </c>
      <c r="AG38" s="98">
        <v>438.5964912280702</v>
      </c>
      <c r="AH38" s="98">
        <v>130.393551446183</v>
      </c>
      <c r="AI38" s="100">
        <v>0.012</v>
      </c>
      <c r="AJ38" s="100">
        <v>0.842816</v>
      </c>
      <c r="AK38" s="100">
        <v>0.784646</v>
      </c>
      <c r="AL38" s="100">
        <v>0.831789</v>
      </c>
      <c r="AM38" s="100">
        <v>0.556992</v>
      </c>
      <c r="AN38" s="100">
        <v>0.572559</v>
      </c>
      <c r="AO38" s="98">
        <v>900.9009009009009</v>
      </c>
      <c r="AP38" s="158">
        <v>0.508257637</v>
      </c>
      <c r="AQ38" s="100">
        <v>0.11842105263157894</v>
      </c>
      <c r="AR38" s="100">
        <v>0.3333333333333333</v>
      </c>
      <c r="AS38" s="98">
        <v>213.37126600284495</v>
      </c>
      <c r="AT38" s="98">
        <v>94.8316737790422</v>
      </c>
      <c r="AU38" s="98" t="s">
        <v>557</v>
      </c>
      <c r="AV38" s="98">
        <v>201.51730678046468</v>
      </c>
      <c r="AW38" s="98">
        <v>770.5073494547179</v>
      </c>
      <c r="AX38" s="98">
        <v>616.4058795637743</v>
      </c>
      <c r="AY38" s="98">
        <v>1161.688003793267</v>
      </c>
      <c r="AZ38" s="98">
        <v>486.01232811759127</v>
      </c>
      <c r="BA38" s="100" t="s">
        <v>557</v>
      </c>
      <c r="BB38" s="100" t="s">
        <v>557</v>
      </c>
      <c r="BC38" s="100" t="s">
        <v>557</v>
      </c>
      <c r="BD38" s="158">
        <v>0.40044921879999995</v>
      </c>
      <c r="BE38" s="158">
        <v>0.6361602402</v>
      </c>
      <c r="BF38" s="162">
        <v>1037</v>
      </c>
      <c r="BG38" s="162">
        <v>1003</v>
      </c>
      <c r="BH38" s="162">
        <v>2158</v>
      </c>
      <c r="BI38" s="162">
        <v>851</v>
      </c>
      <c r="BJ38" s="162">
        <v>379</v>
      </c>
      <c r="BK38" s="97"/>
      <c r="BL38" s="97"/>
      <c r="BM38" s="97"/>
      <c r="BN38" s="97"/>
    </row>
    <row r="39" spans="1:66" ht="12.75">
      <c r="A39" s="79" t="s">
        <v>523</v>
      </c>
      <c r="B39" s="79" t="s">
        <v>295</v>
      </c>
      <c r="C39" s="79" t="s">
        <v>270</v>
      </c>
      <c r="D39" s="99">
        <v>19298</v>
      </c>
      <c r="E39" s="99">
        <v>4283</v>
      </c>
      <c r="F39" s="99" t="s">
        <v>350</v>
      </c>
      <c r="G39" s="99">
        <v>115</v>
      </c>
      <c r="H39" s="99">
        <v>42</v>
      </c>
      <c r="I39" s="99">
        <v>488</v>
      </c>
      <c r="J39" s="99">
        <v>2030</v>
      </c>
      <c r="K39" s="99">
        <v>15</v>
      </c>
      <c r="L39" s="99">
        <v>3774</v>
      </c>
      <c r="M39" s="99">
        <v>1750</v>
      </c>
      <c r="N39" s="99">
        <v>803</v>
      </c>
      <c r="O39" s="99">
        <v>373</v>
      </c>
      <c r="P39" s="159">
        <v>373</v>
      </c>
      <c r="Q39" s="99">
        <v>41</v>
      </c>
      <c r="R39" s="99">
        <v>87</v>
      </c>
      <c r="S39" s="99">
        <v>98</v>
      </c>
      <c r="T39" s="99">
        <v>51</v>
      </c>
      <c r="U39" s="99">
        <v>8</v>
      </c>
      <c r="V39" s="99">
        <v>49</v>
      </c>
      <c r="W39" s="99">
        <v>123</v>
      </c>
      <c r="X39" s="99">
        <v>117</v>
      </c>
      <c r="Y39" s="99">
        <v>215</v>
      </c>
      <c r="Z39" s="99">
        <v>136</v>
      </c>
      <c r="AA39" s="99" t="s">
        <v>557</v>
      </c>
      <c r="AB39" s="99" t="s">
        <v>557</v>
      </c>
      <c r="AC39" s="99" t="s">
        <v>557</v>
      </c>
      <c r="AD39" s="98" t="s">
        <v>326</v>
      </c>
      <c r="AE39" s="100">
        <v>0.2219400974194217</v>
      </c>
      <c r="AF39" s="100">
        <v>0.06</v>
      </c>
      <c r="AG39" s="98">
        <v>595.9166753031402</v>
      </c>
      <c r="AH39" s="98">
        <v>217.63913358897295</v>
      </c>
      <c r="AI39" s="100">
        <v>0.025</v>
      </c>
      <c r="AJ39" s="100">
        <v>0.720625</v>
      </c>
      <c r="AK39" s="100">
        <v>0.535714</v>
      </c>
      <c r="AL39" s="100">
        <v>0.849044</v>
      </c>
      <c r="AM39" s="100">
        <v>0.671785</v>
      </c>
      <c r="AN39" s="100">
        <v>0.728675</v>
      </c>
      <c r="AO39" s="98">
        <v>1932.8427816354026</v>
      </c>
      <c r="AP39" s="158">
        <v>0.8858254242</v>
      </c>
      <c r="AQ39" s="100">
        <v>0.10991957104557641</v>
      </c>
      <c r="AR39" s="100">
        <v>0.47126436781609193</v>
      </c>
      <c r="AS39" s="98">
        <v>507.8246450409369</v>
      </c>
      <c r="AT39" s="98">
        <v>264.27609078661</v>
      </c>
      <c r="AU39" s="98">
        <v>41.45507306456628</v>
      </c>
      <c r="AV39" s="98">
        <v>253.91232252046845</v>
      </c>
      <c r="AW39" s="98">
        <v>637.3717483677065</v>
      </c>
      <c r="AX39" s="98">
        <v>606.2804435692818</v>
      </c>
      <c r="AY39" s="98">
        <v>1114.1050886102187</v>
      </c>
      <c r="AZ39" s="98">
        <v>704.7362420976267</v>
      </c>
      <c r="BA39" s="100" t="s">
        <v>557</v>
      </c>
      <c r="BB39" s="100" t="s">
        <v>557</v>
      </c>
      <c r="BC39" s="100" t="s">
        <v>557</v>
      </c>
      <c r="BD39" s="158">
        <v>0.7981992339999999</v>
      </c>
      <c r="BE39" s="158">
        <v>0.98044487</v>
      </c>
      <c r="BF39" s="162">
        <v>2817</v>
      </c>
      <c r="BG39" s="162">
        <v>28</v>
      </c>
      <c r="BH39" s="162">
        <v>4445</v>
      </c>
      <c r="BI39" s="162">
        <v>2605</v>
      </c>
      <c r="BJ39" s="162">
        <v>1102</v>
      </c>
      <c r="BK39" s="97"/>
      <c r="BL39" s="97"/>
      <c r="BM39" s="97"/>
      <c r="BN39" s="97"/>
    </row>
    <row r="40" spans="1:66" ht="12.75">
      <c r="A40" s="79" t="s">
        <v>527</v>
      </c>
      <c r="B40" s="79" t="s">
        <v>299</v>
      </c>
      <c r="C40" s="79" t="s">
        <v>270</v>
      </c>
      <c r="D40" s="99">
        <v>11757</v>
      </c>
      <c r="E40" s="99">
        <v>2832</v>
      </c>
      <c r="F40" s="99" t="s">
        <v>350</v>
      </c>
      <c r="G40" s="99">
        <v>65</v>
      </c>
      <c r="H40" s="99">
        <v>31</v>
      </c>
      <c r="I40" s="99">
        <v>341</v>
      </c>
      <c r="J40" s="99">
        <v>1456</v>
      </c>
      <c r="K40" s="99">
        <v>14</v>
      </c>
      <c r="L40" s="99">
        <v>2230</v>
      </c>
      <c r="M40" s="99">
        <v>1221</v>
      </c>
      <c r="N40" s="99">
        <v>564</v>
      </c>
      <c r="O40" s="99">
        <v>205</v>
      </c>
      <c r="P40" s="159">
        <v>205</v>
      </c>
      <c r="Q40" s="99">
        <v>27</v>
      </c>
      <c r="R40" s="99">
        <v>66</v>
      </c>
      <c r="S40" s="99">
        <v>55</v>
      </c>
      <c r="T40" s="99">
        <v>26</v>
      </c>
      <c r="U40" s="99">
        <v>8</v>
      </c>
      <c r="V40" s="99">
        <v>28</v>
      </c>
      <c r="W40" s="99">
        <v>77</v>
      </c>
      <c r="X40" s="99">
        <v>60</v>
      </c>
      <c r="Y40" s="99">
        <v>138</v>
      </c>
      <c r="Z40" s="99">
        <v>89</v>
      </c>
      <c r="AA40" s="99" t="s">
        <v>557</v>
      </c>
      <c r="AB40" s="99" t="s">
        <v>557</v>
      </c>
      <c r="AC40" s="99" t="s">
        <v>557</v>
      </c>
      <c r="AD40" s="98" t="s">
        <v>326</v>
      </c>
      <c r="AE40" s="100">
        <v>0.24087777494258739</v>
      </c>
      <c r="AF40" s="100">
        <v>0.06</v>
      </c>
      <c r="AG40" s="98">
        <v>552.8621246916731</v>
      </c>
      <c r="AH40" s="98">
        <v>263.67270562218255</v>
      </c>
      <c r="AI40" s="100">
        <v>0.028999999999999998</v>
      </c>
      <c r="AJ40" s="100">
        <v>0.767123</v>
      </c>
      <c r="AK40" s="100">
        <v>0.608696</v>
      </c>
      <c r="AL40" s="100">
        <v>0.814761</v>
      </c>
      <c r="AM40" s="100">
        <v>0.661072</v>
      </c>
      <c r="AN40" s="100">
        <v>0.713924</v>
      </c>
      <c r="AO40" s="98">
        <v>1743.6420855660458</v>
      </c>
      <c r="AP40" s="158">
        <v>0.7553952026</v>
      </c>
      <c r="AQ40" s="100">
        <v>0.13170731707317074</v>
      </c>
      <c r="AR40" s="100">
        <v>0.4090909090909091</v>
      </c>
      <c r="AS40" s="98">
        <v>467.80641320064643</v>
      </c>
      <c r="AT40" s="98">
        <v>221.1448498766692</v>
      </c>
      <c r="AU40" s="98">
        <v>68.0445691928213</v>
      </c>
      <c r="AV40" s="98">
        <v>238.15599217487454</v>
      </c>
      <c r="AW40" s="98">
        <v>654.928978480905</v>
      </c>
      <c r="AX40" s="98">
        <v>510.33426894615974</v>
      </c>
      <c r="AY40" s="98">
        <v>1173.7688185761674</v>
      </c>
      <c r="AZ40" s="98">
        <v>756.9958322701369</v>
      </c>
      <c r="BA40" s="100" t="s">
        <v>557</v>
      </c>
      <c r="BB40" s="100" t="s">
        <v>557</v>
      </c>
      <c r="BC40" s="100" t="s">
        <v>557</v>
      </c>
      <c r="BD40" s="158">
        <v>0.6555223846</v>
      </c>
      <c r="BE40" s="158">
        <v>0.8661826324</v>
      </c>
      <c r="BF40" s="162">
        <v>1898</v>
      </c>
      <c r="BG40" s="162">
        <v>23</v>
      </c>
      <c r="BH40" s="162">
        <v>2737</v>
      </c>
      <c r="BI40" s="162">
        <v>1847</v>
      </c>
      <c r="BJ40" s="162">
        <v>790</v>
      </c>
      <c r="BK40" s="97"/>
      <c r="BL40" s="97"/>
      <c r="BM40" s="97"/>
      <c r="BN40" s="97"/>
    </row>
    <row r="41" spans="1:66" ht="12.75">
      <c r="A41" s="79" t="s">
        <v>561</v>
      </c>
      <c r="B41" s="79" t="s">
        <v>302</v>
      </c>
      <c r="C41" s="79" t="s">
        <v>270</v>
      </c>
      <c r="D41" s="99">
        <v>9724</v>
      </c>
      <c r="E41" s="99">
        <v>2434</v>
      </c>
      <c r="F41" s="99" t="s">
        <v>348</v>
      </c>
      <c r="G41" s="99">
        <v>55</v>
      </c>
      <c r="H41" s="99">
        <v>39</v>
      </c>
      <c r="I41" s="99">
        <v>201</v>
      </c>
      <c r="J41" s="99">
        <v>1024</v>
      </c>
      <c r="K41" s="99">
        <v>952</v>
      </c>
      <c r="L41" s="99">
        <v>1953</v>
      </c>
      <c r="M41" s="99">
        <v>746</v>
      </c>
      <c r="N41" s="99">
        <v>336</v>
      </c>
      <c r="O41" s="99">
        <v>229</v>
      </c>
      <c r="P41" s="159">
        <v>229</v>
      </c>
      <c r="Q41" s="99">
        <v>33</v>
      </c>
      <c r="R41" s="99">
        <v>54</v>
      </c>
      <c r="S41" s="99">
        <v>70</v>
      </c>
      <c r="T41" s="99">
        <v>28</v>
      </c>
      <c r="U41" s="99">
        <v>11</v>
      </c>
      <c r="V41" s="99">
        <v>26</v>
      </c>
      <c r="W41" s="99">
        <v>52</v>
      </c>
      <c r="X41" s="99">
        <v>66</v>
      </c>
      <c r="Y41" s="99">
        <v>177</v>
      </c>
      <c r="Z41" s="99">
        <v>80</v>
      </c>
      <c r="AA41" s="99" t="s">
        <v>557</v>
      </c>
      <c r="AB41" s="99" t="s">
        <v>557</v>
      </c>
      <c r="AC41" s="99" t="s">
        <v>557</v>
      </c>
      <c r="AD41" s="98" t="s">
        <v>326</v>
      </c>
      <c r="AE41" s="100">
        <v>0.2503085150143974</v>
      </c>
      <c r="AF41" s="100">
        <v>0.12</v>
      </c>
      <c r="AG41" s="98">
        <v>565.6108597285067</v>
      </c>
      <c r="AH41" s="98">
        <v>401.06951871657753</v>
      </c>
      <c r="AI41" s="100">
        <v>0.021</v>
      </c>
      <c r="AJ41" s="100">
        <v>0.757957</v>
      </c>
      <c r="AK41" s="100">
        <v>0.734002</v>
      </c>
      <c r="AL41" s="100">
        <v>0.81071</v>
      </c>
      <c r="AM41" s="100">
        <v>0.582358</v>
      </c>
      <c r="AN41" s="100">
        <v>0.638783</v>
      </c>
      <c r="AO41" s="98">
        <v>2354.9979432332375</v>
      </c>
      <c r="AP41" s="158">
        <v>1.022957993</v>
      </c>
      <c r="AQ41" s="100">
        <v>0.14410480349344978</v>
      </c>
      <c r="AR41" s="100">
        <v>0.6111111111111112</v>
      </c>
      <c r="AS41" s="98">
        <v>719.8683669271904</v>
      </c>
      <c r="AT41" s="98">
        <v>287.9473467708762</v>
      </c>
      <c r="AU41" s="98">
        <v>113.12217194570135</v>
      </c>
      <c r="AV41" s="98">
        <v>267.379679144385</v>
      </c>
      <c r="AW41" s="98">
        <v>534.75935828877</v>
      </c>
      <c r="AX41" s="98">
        <v>678.7330316742082</v>
      </c>
      <c r="AY41" s="98">
        <v>1820.2385849444672</v>
      </c>
      <c r="AZ41" s="98">
        <v>822.7067050596462</v>
      </c>
      <c r="BA41" s="100" t="s">
        <v>557</v>
      </c>
      <c r="BB41" s="100" t="s">
        <v>557</v>
      </c>
      <c r="BC41" s="100" t="s">
        <v>557</v>
      </c>
      <c r="BD41" s="158">
        <v>0.8947468567</v>
      </c>
      <c r="BE41" s="158">
        <v>1.164384613</v>
      </c>
      <c r="BF41" s="162">
        <v>1351</v>
      </c>
      <c r="BG41" s="162">
        <v>1297</v>
      </c>
      <c r="BH41" s="162">
        <v>2409</v>
      </c>
      <c r="BI41" s="162">
        <v>1281</v>
      </c>
      <c r="BJ41" s="162">
        <v>526</v>
      </c>
      <c r="BK41" s="97"/>
      <c r="BL41" s="97"/>
      <c r="BM41" s="97"/>
      <c r="BN41" s="97"/>
    </row>
    <row r="42" spans="1:66" ht="12.75">
      <c r="A42" s="79" t="s">
        <v>520</v>
      </c>
      <c r="B42" s="79" t="s">
        <v>292</v>
      </c>
      <c r="C42" s="79" t="s">
        <v>270</v>
      </c>
      <c r="D42" s="99">
        <v>7858</v>
      </c>
      <c r="E42" s="99">
        <v>1518</v>
      </c>
      <c r="F42" s="99" t="s">
        <v>349</v>
      </c>
      <c r="G42" s="99">
        <v>40</v>
      </c>
      <c r="H42" s="99">
        <v>19</v>
      </c>
      <c r="I42" s="99">
        <v>164</v>
      </c>
      <c r="J42" s="99">
        <v>737</v>
      </c>
      <c r="K42" s="99" t="s">
        <v>557</v>
      </c>
      <c r="L42" s="99">
        <v>1420</v>
      </c>
      <c r="M42" s="99">
        <v>468</v>
      </c>
      <c r="N42" s="99">
        <v>205</v>
      </c>
      <c r="O42" s="99">
        <v>96</v>
      </c>
      <c r="P42" s="159">
        <v>96</v>
      </c>
      <c r="Q42" s="99">
        <v>13</v>
      </c>
      <c r="R42" s="99">
        <v>34</v>
      </c>
      <c r="S42" s="99">
        <v>21</v>
      </c>
      <c r="T42" s="99">
        <v>13</v>
      </c>
      <c r="U42" s="99" t="s">
        <v>557</v>
      </c>
      <c r="V42" s="99">
        <v>23</v>
      </c>
      <c r="W42" s="99">
        <v>39</v>
      </c>
      <c r="X42" s="99">
        <v>39</v>
      </c>
      <c r="Y42" s="99">
        <v>97</v>
      </c>
      <c r="Z42" s="99">
        <v>72</v>
      </c>
      <c r="AA42" s="99" t="s">
        <v>557</v>
      </c>
      <c r="AB42" s="99" t="s">
        <v>557</v>
      </c>
      <c r="AC42" s="99" t="s">
        <v>557</v>
      </c>
      <c r="AD42" s="98" t="s">
        <v>326</v>
      </c>
      <c r="AE42" s="100">
        <v>0.19317892593535252</v>
      </c>
      <c r="AF42" s="100">
        <v>0.16</v>
      </c>
      <c r="AG42" s="98">
        <v>509.03537795876815</v>
      </c>
      <c r="AH42" s="98">
        <v>241.79180453041485</v>
      </c>
      <c r="AI42" s="100">
        <v>0.021</v>
      </c>
      <c r="AJ42" s="100">
        <v>0.760578</v>
      </c>
      <c r="AK42" s="100" t="s">
        <v>557</v>
      </c>
      <c r="AL42" s="100">
        <v>0.809578</v>
      </c>
      <c r="AM42" s="100">
        <v>0.54104</v>
      </c>
      <c r="AN42" s="100">
        <v>0.566298</v>
      </c>
      <c r="AO42" s="98">
        <v>1221.6849071010436</v>
      </c>
      <c r="AP42" s="158">
        <v>0.615909729</v>
      </c>
      <c r="AQ42" s="100">
        <v>0.13541666666666666</v>
      </c>
      <c r="AR42" s="100">
        <v>0.38235294117647056</v>
      </c>
      <c r="AS42" s="98">
        <v>267.2435734283533</v>
      </c>
      <c r="AT42" s="98">
        <v>165.43649783659964</v>
      </c>
      <c r="AU42" s="98" t="s">
        <v>557</v>
      </c>
      <c r="AV42" s="98">
        <v>292.69534232629167</v>
      </c>
      <c r="AW42" s="98">
        <v>496.3094935097989</v>
      </c>
      <c r="AX42" s="98">
        <v>496.3094935097989</v>
      </c>
      <c r="AY42" s="98">
        <v>1234.4107915500126</v>
      </c>
      <c r="AZ42" s="98">
        <v>916.2636803257826</v>
      </c>
      <c r="BA42" s="100" t="s">
        <v>557</v>
      </c>
      <c r="BB42" s="100" t="s">
        <v>557</v>
      </c>
      <c r="BC42" s="100" t="s">
        <v>557</v>
      </c>
      <c r="BD42" s="158">
        <v>0.498888855</v>
      </c>
      <c r="BE42" s="158">
        <v>0.7521311951</v>
      </c>
      <c r="BF42" s="162">
        <v>969</v>
      </c>
      <c r="BG42" s="162" t="s">
        <v>557</v>
      </c>
      <c r="BH42" s="162">
        <v>1754</v>
      </c>
      <c r="BI42" s="162">
        <v>865</v>
      </c>
      <c r="BJ42" s="162">
        <v>362</v>
      </c>
      <c r="BK42" s="97"/>
      <c r="BL42" s="97"/>
      <c r="BM42" s="97"/>
      <c r="BN42" s="97"/>
    </row>
    <row r="43" spans="1:66" ht="12.75">
      <c r="A43" s="79" t="s">
        <v>524</v>
      </c>
      <c r="B43" s="79" t="s">
        <v>296</v>
      </c>
      <c r="C43" s="79" t="s">
        <v>270</v>
      </c>
      <c r="D43" s="99">
        <v>8751</v>
      </c>
      <c r="E43" s="99">
        <v>1279</v>
      </c>
      <c r="F43" s="99" t="s">
        <v>349</v>
      </c>
      <c r="G43" s="99">
        <v>54</v>
      </c>
      <c r="H43" s="99">
        <v>16</v>
      </c>
      <c r="I43" s="99">
        <v>141</v>
      </c>
      <c r="J43" s="99">
        <v>685</v>
      </c>
      <c r="K43" s="99" t="s">
        <v>557</v>
      </c>
      <c r="L43" s="99">
        <v>1355</v>
      </c>
      <c r="M43" s="99">
        <v>506</v>
      </c>
      <c r="N43" s="99">
        <v>225</v>
      </c>
      <c r="O43" s="99">
        <v>117</v>
      </c>
      <c r="P43" s="159">
        <v>117</v>
      </c>
      <c r="Q43" s="99">
        <v>11</v>
      </c>
      <c r="R43" s="99">
        <v>17</v>
      </c>
      <c r="S43" s="99">
        <v>24</v>
      </c>
      <c r="T43" s="99">
        <v>22</v>
      </c>
      <c r="U43" s="99" t="s">
        <v>557</v>
      </c>
      <c r="V43" s="99">
        <v>22</v>
      </c>
      <c r="W43" s="99">
        <v>48</v>
      </c>
      <c r="X43" s="99">
        <v>42</v>
      </c>
      <c r="Y43" s="99">
        <v>98</v>
      </c>
      <c r="Z43" s="99">
        <v>60</v>
      </c>
      <c r="AA43" s="99" t="s">
        <v>557</v>
      </c>
      <c r="AB43" s="99" t="s">
        <v>557</v>
      </c>
      <c r="AC43" s="99" t="s">
        <v>557</v>
      </c>
      <c r="AD43" s="98" t="s">
        <v>326</v>
      </c>
      <c r="AE43" s="100">
        <v>0.1461547251742658</v>
      </c>
      <c r="AF43" s="100">
        <v>0.14</v>
      </c>
      <c r="AG43" s="98">
        <v>617.0723345903325</v>
      </c>
      <c r="AH43" s="98">
        <v>182.83624728602445</v>
      </c>
      <c r="AI43" s="100">
        <v>0.016</v>
      </c>
      <c r="AJ43" s="100">
        <v>0.702564</v>
      </c>
      <c r="AK43" s="100" t="s">
        <v>557</v>
      </c>
      <c r="AL43" s="100">
        <v>0.753196</v>
      </c>
      <c r="AM43" s="100">
        <v>0.53545</v>
      </c>
      <c r="AN43" s="100">
        <v>0.596817</v>
      </c>
      <c r="AO43" s="98">
        <v>1336.9900582790538</v>
      </c>
      <c r="AP43" s="158">
        <v>0.7803218078999999</v>
      </c>
      <c r="AQ43" s="100">
        <v>0.09401709401709402</v>
      </c>
      <c r="AR43" s="100">
        <v>0.6470588235294118</v>
      </c>
      <c r="AS43" s="98">
        <v>274.25437092903667</v>
      </c>
      <c r="AT43" s="98">
        <v>251.3998400182836</v>
      </c>
      <c r="AU43" s="98" t="s">
        <v>557</v>
      </c>
      <c r="AV43" s="98">
        <v>251.3998400182836</v>
      </c>
      <c r="AW43" s="98">
        <v>548.5087418580733</v>
      </c>
      <c r="AX43" s="98">
        <v>479.94514912581417</v>
      </c>
      <c r="AY43" s="98">
        <v>1119.8720146268997</v>
      </c>
      <c r="AZ43" s="98">
        <v>685.6359273225917</v>
      </c>
      <c r="BA43" s="100" t="s">
        <v>557</v>
      </c>
      <c r="BB43" s="100" t="s">
        <v>557</v>
      </c>
      <c r="BC43" s="100" t="s">
        <v>557</v>
      </c>
      <c r="BD43" s="158">
        <v>0.6453473663</v>
      </c>
      <c r="BE43" s="158">
        <v>0.9351951599</v>
      </c>
      <c r="BF43" s="162">
        <v>975</v>
      </c>
      <c r="BG43" s="162" t="s">
        <v>557</v>
      </c>
      <c r="BH43" s="162">
        <v>1799</v>
      </c>
      <c r="BI43" s="162">
        <v>945</v>
      </c>
      <c r="BJ43" s="162">
        <v>377</v>
      </c>
      <c r="BK43" s="97"/>
      <c r="BL43" s="97"/>
      <c r="BM43" s="97"/>
      <c r="BN43" s="97"/>
    </row>
    <row r="44" spans="1:66" ht="12.75">
      <c r="A44" s="79" t="s">
        <v>529</v>
      </c>
      <c r="B44" s="79" t="s">
        <v>301</v>
      </c>
      <c r="C44" s="79" t="s">
        <v>270</v>
      </c>
      <c r="D44" s="99">
        <v>6211</v>
      </c>
      <c r="E44" s="99">
        <v>1468</v>
      </c>
      <c r="F44" s="99" t="s">
        <v>348</v>
      </c>
      <c r="G44" s="99">
        <v>31</v>
      </c>
      <c r="H44" s="99">
        <v>20</v>
      </c>
      <c r="I44" s="99">
        <v>138</v>
      </c>
      <c r="J44" s="99">
        <v>551</v>
      </c>
      <c r="K44" s="99">
        <v>9</v>
      </c>
      <c r="L44" s="99">
        <v>1276</v>
      </c>
      <c r="M44" s="99">
        <v>424</v>
      </c>
      <c r="N44" s="99">
        <v>184</v>
      </c>
      <c r="O44" s="99">
        <v>69</v>
      </c>
      <c r="P44" s="159">
        <v>69</v>
      </c>
      <c r="Q44" s="99">
        <v>14</v>
      </c>
      <c r="R44" s="99">
        <v>32</v>
      </c>
      <c r="S44" s="99">
        <v>23</v>
      </c>
      <c r="T44" s="99" t="s">
        <v>557</v>
      </c>
      <c r="U44" s="99" t="s">
        <v>557</v>
      </c>
      <c r="V44" s="99">
        <v>17</v>
      </c>
      <c r="W44" s="99">
        <v>42</v>
      </c>
      <c r="X44" s="99">
        <v>32</v>
      </c>
      <c r="Y44" s="99">
        <v>67</v>
      </c>
      <c r="Z44" s="99">
        <v>53</v>
      </c>
      <c r="AA44" s="99" t="s">
        <v>557</v>
      </c>
      <c r="AB44" s="99" t="s">
        <v>557</v>
      </c>
      <c r="AC44" s="99" t="s">
        <v>557</v>
      </c>
      <c r="AD44" s="98" t="s">
        <v>326</v>
      </c>
      <c r="AE44" s="100">
        <v>0.23635485429077444</v>
      </c>
      <c r="AF44" s="100">
        <v>0.1</v>
      </c>
      <c r="AG44" s="98">
        <v>499.1144743197553</v>
      </c>
      <c r="AH44" s="98">
        <v>322.00933827080985</v>
      </c>
      <c r="AI44" s="100">
        <v>0.022000000000000002</v>
      </c>
      <c r="AJ44" s="100">
        <v>0.744595</v>
      </c>
      <c r="AK44" s="100">
        <v>0.529412</v>
      </c>
      <c r="AL44" s="100">
        <v>0.841134</v>
      </c>
      <c r="AM44" s="100">
        <v>0.568365</v>
      </c>
      <c r="AN44" s="100">
        <v>0.601307</v>
      </c>
      <c r="AO44" s="98">
        <v>1110.932217034294</v>
      </c>
      <c r="AP44" s="158">
        <v>0.5100121307</v>
      </c>
      <c r="AQ44" s="100">
        <v>0.2028985507246377</v>
      </c>
      <c r="AR44" s="100">
        <v>0.4375</v>
      </c>
      <c r="AS44" s="98">
        <v>370.31073901143134</v>
      </c>
      <c r="AT44" s="98" t="s">
        <v>557</v>
      </c>
      <c r="AU44" s="98" t="s">
        <v>557</v>
      </c>
      <c r="AV44" s="98">
        <v>273.70793753018836</v>
      </c>
      <c r="AW44" s="98">
        <v>676.2196103687007</v>
      </c>
      <c r="AX44" s="98">
        <v>515.2149412332958</v>
      </c>
      <c r="AY44" s="98">
        <v>1078.731283207213</v>
      </c>
      <c r="AZ44" s="98">
        <v>853.3247464176461</v>
      </c>
      <c r="BA44" s="100" t="s">
        <v>557</v>
      </c>
      <c r="BB44" s="100" t="s">
        <v>557</v>
      </c>
      <c r="BC44" s="100" t="s">
        <v>557</v>
      </c>
      <c r="BD44" s="158">
        <v>0.3968198776</v>
      </c>
      <c r="BE44" s="158">
        <v>0.6454529572</v>
      </c>
      <c r="BF44" s="162">
        <v>740</v>
      </c>
      <c r="BG44" s="162">
        <v>17</v>
      </c>
      <c r="BH44" s="162">
        <v>1517</v>
      </c>
      <c r="BI44" s="162">
        <v>746</v>
      </c>
      <c r="BJ44" s="162">
        <v>306</v>
      </c>
      <c r="BK44" s="97"/>
      <c r="BL44" s="97"/>
      <c r="BM44" s="97"/>
      <c r="BN44" s="97"/>
    </row>
    <row r="45" spans="1:66" ht="12.75">
      <c r="A45" s="79" t="s">
        <v>516</v>
      </c>
      <c r="B45" s="79" t="s">
        <v>287</v>
      </c>
      <c r="C45" s="79" t="s">
        <v>270</v>
      </c>
      <c r="D45" s="99">
        <v>15043</v>
      </c>
      <c r="E45" s="99">
        <v>4351</v>
      </c>
      <c r="F45" s="99" t="s">
        <v>348</v>
      </c>
      <c r="G45" s="99">
        <v>96</v>
      </c>
      <c r="H45" s="99">
        <v>71</v>
      </c>
      <c r="I45" s="99">
        <v>378</v>
      </c>
      <c r="J45" s="99">
        <v>1274</v>
      </c>
      <c r="K45" s="99">
        <v>1162</v>
      </c>
      <c r="L45" s="99">
        <v>2718</v>
      </c>
      <c r="M45" s="99">
        <v>1066</v>
      </c>
      <c r="N45" s="99">
        <v>465</v>
      </c>
      <c r="O45" s="99">
        <v>376</v>
      </c>
      <c r="P45" s="159">
        <v>376</v>
      </c>
      <c r="Q45" s="99">
        <v>55</v>
      </c>
      <c r="R45" s="99">
        <v>109</v>
      </c>
      <c r="S45" s="99">
        <v>78</v>
      </c>
      <c r="T45" s="99">
        <v>62</v>
      </c>
      <c r="U45" s="99">
        <v>13</v>
      </c>
      <c r="V45" s="99">
        <v>67</v>
      </c>
      <c r="W45" s="99">
        <v>122</v>
      </c>
      <c r="X45" s="99">
        <v>86</v>
      </c>
      <c r="Y45" s="99">
        <v>214</v>
      </c>
      <c r="Z45" s="99">
        <v>173</v>
      </c>
      <c r="AA45" s="99" t="s">
        <v>557</v>
      </c>
      <c r="AB45" s="99" t="s">
        <v>557</v>
      </c>
      <c r="AC45" s="99" t="s">
        <v>557</v>
      </c>
      <c r="AD45" s="98" t="s">
        <v>326</v>
      </c>
      <c r="AE45" s="100">
        <v>0.2892375191118793</v>
      </c>
      <c r="AF45" s="100">
        <v>0.1</v>
      </c>
      <c r="AG45" s="98">
        <v>638.170577677325</v>
      </c>
      <c r="AH45" s="98">
        <v>471.98032307385495</v>
      </c>
      <c r="AI45" s="100">
        <v>0.025</v>
      </c>
      <c r="AJ45" s="100">
        <v>0.720996</v>
      </c>
      <c r="AK45" s="100">
        <v>0.700422</v>
      </c>
      <c r="AL45" s="100">
        <v>0.761345</v>
      </c>
      <c r="AM45" s="100">
        <v>0.575283</v>
      </c>
      <c r="AN45" s="100">
        <v>0.630081</v>
      </c>
      <c r="AO45" s="98">
        <v>2499.50142923619</v>
      </c>
      <c r="AP45" s="158">
        <v>1.035265503</v>
      </c>
      <c r="AQ45" s="100">
        <v>0.14627659574468085</v>
      </c>
      <c r="AR45" s="100">
        <v>0.5045871559633027</v>
      </c>
      <c r="AS45" s="98">
        <v>518.5135943628266</v>
      </c>
      <c r="AT45" s="98">
        <v>412.1518314166057</v>
      </c>
      <c r="AU45" s="98">
        <v>86.41893239380443</v>
      </c>
      <c r="AV45" s="98">
        <v>445.38988233729975</v>
      </c>
      <c r="AW45" s="98">
        <v>811.0084424649339</v>
      </c>
      <c r="AX45" s="98">
        <v>571.6944758359369</v>
      </c>
      <c r="AY45" s="98">
        <v>1422.5885794057037</v>
      </c>
      <c r="AZ45" s="98">
        <v>1150.0365618560127</v>
      </c>
      <c r="BA45" s="100" t="s">
        <v>557</v>
      </c>
      <c r="BB45" s="100" t="s">
        <v>557</v>
      </c>
      <c r="BC45" s="100" t="s">
        <v>557</v>
      </c>
      <c r="BD45" s="158">
        <v>0.9332553101000001</v>
      </c>
      <c r="BE45" s="158">
        <v>1.145382919</v>
      </c>
      <c r="BF45" s="162">
        <v>1767</v>
      </c>
      <c r="BG45" s="162">
        <v>1659</v>
      </c>
      <c r="BH45" s="162">
        <v>3570</v>
      </c>
      <c r="BI45" s="162">
        <v>1853</v>
      </c>
      <c r="BJ45" s="162">
        <v>738</v>
      </c>
      <c r="BK45" s="97"/>
      <c r="BL45" s="97"/>
      <c r="BM45" s="97"/>
      <c r="BN45" s="97"/>
    </row>
    <row r="46" spans="1:66" ht="12.75">
      <c r="A46" s="79" t="s">
        <v>546</v>
      </c>
      <c r="B46" s="79" t="s">
        <v>321</v>
      </c>
      <c r="C46" s="79" t="s">
        <v>270</v>
      </c>
      <c r="D46" s="99">
        <v>4069</v>
      </c>
      <c r="E46" s="99">
        <v>654</v>
      </c>
      <c r="F46" s="99" t="s">
        <v>346</v>
      </c>
      <c r="G46" s="99">
        <v>18</v>
      </c>
      <c r="H46" s="99">
        <v>9</v>
      </c>
      <c r="I46" s="99">
        <v>72</v>
      </c>
      <c r="J46" s="99">
        <v>363</v>
      </c>
      <c r="K46" s="99">
        <v>333</v>
      </c>
      <c r="L46" s="99">
        <v>770</v>
      </c>
      <c r="M46" s="99">
        <v>217</v>
      </c>
      <c r="N46" s="99">
        <v>97</v>
      </c>
      <c r="O46" s="99">
        <v>69</v>
      </c>
      <c r="P46" s="159">
        <v>69</v>
      </c>
      <c r="Q46" s="99">
        <v>15</v>
      </c>
      <c r="R46" s="99">
        <v>27</v>
      </c>
      <c r="S46" s="99">
        <v>15</v>
      </c>
      <c r="T46" s="99">
        <v>13</v>
      </c>
      <c r="U46" s="99" t="s">
        <v>557</v>
      </c>
      <c r="V46" s="99">
        <v>9</v>
      </c>
      <c r="W46" s="99">
        <v>28</v>
      </c>
      <c r="X46" s="99">
        <v>22</v>
      </c>
      <c r="Y46" s="99">
        <v>67</v>
      </c>
      <c r="Z46" s="99">
        <v>23</v>
      </c>
      <c r="AA46" s="99" t="s">
        <v>557</v>
      </c>
      <c r="AB46" s="99" t="s">
        <v>557</v>
      </c>
      <c r="AC46" s="99" t="s">
        <v>557</v>
      </c>
      <c r="AD46" s="98" t="s">
        <v>326</v>
      </c>
      <c r="AE46" s="100">
        <v>0.16072745146227574</v>
      </c>
      <c r="AF46" s="100">
        <v>0.21</v>
      </c>
      <c r="AG46" s="98">
        <v>442.3691324649791</v>
      </c>
      <c r="AH46" s="98">
        <v>221.18456623248954</v>
      </c>
      <c r="AI46" s="100">
        <v>0.018000000000000002</v>
      </c>
      <c r="AJ46" s="100">
        <v>0.751553</v>
      </c>
      <c r="AK46" s="100">
        <v>0.727074</v>
      </c>
      <c r="AL46" s="100">
        <v>0.771543</v>
      </c>
      <c r="AM46" s="100">
        <v>0.552163</v>
      </c>
      <c r="AN46" s="100">
        <v>0.567251</v>
      </c>
      <c r="AO46" s="98">
        <v>1695.7483411157532</v>
      </c>
      <c r="AP46" s="158">
        <v>0.9311188507</v>
      </c>
      <c r="AQ46" s="100">
        <v>0.21739130434782608</v>
      </c>
      <c r="AR46" s="100">
        <v>0.5555555555555556</v>
      </c>
      <c r="AS46" s="98">
        <v>368.6409437208159</v>
      </c>
      <c r="AT46" s="98">
        <v>319.4888178913738</v>
      </c>
      <c r="AU46" s="98" t="s">
        <v>557</v>
      </c>
      <c r="AV46" s="98">
        <v>221.18456623248954</v>
      </c>
      <c r="AW46" s="98">
        <v>688.1297616121898</v>
      </c>
      <c r="AX46" s="98">
        <v>540.6733841238633</v>
      </c>
      <c r="AY46" s="98">
        <v>1646.5962152863112</v>
      </c>
      <c r="AZ46" s="98">
        <v>565.2494470385844</v>
      </c>
      <c r="BA46" s="100" t="s">
        <v>557</v>
      </c>
      <c r="BB46" s="100" t="s">
        <v>557</v>
      </c>
      <c r="BC46" s="100" t="s">
        <v>557</v>
      </c>
      <c r="BD46" s="158">
        <v>0.7244660186999999</v>
      </c>
      <c r="BE46" s="158">
        <v>1.178390503</v>
      </c>
      <c r="BF46" s="162">
        <v>483</v>
      </c>
      <c r="BG46" s="162">
        <v>458</v>
      </c>
      <c r="BH46" s="162">
        <v>998</v>
      </c>
      <c r="BI46" s="162">
        <v>393</v>
      </c>
      <c r="BJ46" s="162">
        <v>171</v>
      </c>
      <c r="BK46" s="97"/>
      <c r="BL46" s="97"/>
      <c r="BM46" s="97"/>
      <c r="BN46" s="97"/>
    </row>
    <row r="47" spans="1:66" ht="12.75">
      <c r="A47" s="79" t="s">
        <v>446</v>
      </c>
      <c r="B47" s="94" t="s">
        <v>270</v>
      </c>
      <c r="C47" s="94" t="s">
        <v>7</v>
      </c>
      <c r="D47" s="99">
        <v>366645</v>
      </c>
      <c r="E47" s="99">
        <v>68636</v>
      </c>
      <c r="F47" s="99">
        <v>48191.169999999984</v>
      </c>
      <c r="G47" s="99">
        <v>1783</v>
      </c>
      <c r="H47" s="99">
        <v>986</v>
      </c>
      <c r="I47" s="99">
        <v>7180</v>
      </c>
      <c r="J47" s="99">
        <v>31280</v>
      </c>
      <c r="K47" s="99">
        <v>11135</v>
      </c>
      <c r="L47" s="99">
        <v>67426</v>
      </c>
      <c r="M47" s="99">
        <v>23101</v>
      </c>
      <c r="N47" s="99">
        <v>10328</v>
      </c>
      <c r="O47" s="99">
        <v>6219</v>
      </c>
      <c r="P47" s="99">
        <v>6219</v>
      </c>
      <c r="Q47" s="99">
        <v>789</v>
      </c>
      <c r="R47" s="99">
        <v>1652</v>
      </c>
      <c r="S47" s="99">
        <v>1490</v>
      </c>
      <c r="T47" s="99">
        <v>906</v>
      </c>
      <c r="U47" s="99">
        <v>215</v>
      </c>
      <c r="V47" s="99">
        <v>1055</v>
      </c>
      <c r="W47" s="99">
        <v>2162</v>
      </c>
      <c r="X47" s="99">
        <v>1993</v>
      </c>
      <c r="Y47" s="99">
        <v>4909</v>
      </c>
      <c r="Z47" s="99">
        <v>2759</v>
      </c>
      <c r="AA47" s="99">
        <v>0</v>
      </c>
      <c r="AB47" s="99">
        <v>0</v>
      </c>
      <c r="AC47" s="99">
        <v>0</v>
      </c>
      <c r="AD47" s="98">
        <v>0</v>
      </c>
      <c r="AE47" s="101">
        <v>0.18720015273629806</v>
      </c>
      <c r="AF47" s="101">
        <v>0.13143823044088965</v>
      </c>
      <c r="AG47" s="98">
        <v>486.301463268284</v>
      </c>
      <c r="AH47" s="98">
        <v>268.92498193075045</v>
      </c>
      <c r="AI47" s="101">
        <v>0.019582975357634768</v>
      </c>
      <c r="AJ47" s="101">
        <v>0.7261921344662674</v>
      </c>
      <c r="AK47" s="101">
        <v>0.7211320510329642</v>
      </c>
      <c r="AL47" s="101">
        <v>0.7798339154773195</v>
      </c>
      <c r="AM47" s="101">
        <v>0.5746660364685688</v>
      </c>
      <c r="AN47" s="101">
        <v>0.6243501390400193</v>
      </c>
      <c r="AO47" s="98">
        <v>1696.191138567279</v>
      </c>
      <c r="AP47" s="98">
        <v>0</v>
      </c>
      <c r="AQ47" s="101">
        <v>0.12686927158707187</v>
      </c>
      <c r="AR47" s="101">
        <v>0.47760290556900725</v>
      </c>
      <c r="AS47" s="98">
        <v>406.3876501793288</v>
      </c>
      <c r="AT47" s="98">
        <v>247.10551078018247</v>
      </c>
      <c r="AU47" s="98">
        <v>58.63982871715147</v>
      </c>
      <c r="AV47" s="98">
        <v>287.7442757981153</v>
      </c>
      <c r="AW47" s="98">
        <v>589.6712078440999</v>
      </c>
      <c r="AX47" s="98">
        <v>543.577575038525</v>
      </c>
      <c r="AY47" s="98">
        <v>1338.897298476728</v>
      </c>
      <c r="AZ47" s="98">
        <v>752.4990113052135</v>
      </c>
      <c r="BA47" s="101">
        <v>0</v>
      </c>
      <c r="BB47" s="101">
        <v>0</v>
      </c>
      <c r="BC47" s="101">
        <v>0</v>
      </c>
      <c r="BD47" s="98">
        <v>0</v>
      </c>
      <c r="BE47" s="98">
        <v>0</v>
      </c>
      <c r="BF47" s="99">
        <v>43074</v>
      </c>
      <c r="BG47" s="99">
        <v>15441</v>
      </c>
      <c r="BH47" s="99">
        <v>86462</v>
      </c>
      <c r="BI47" s="99">
        <v>40199</v>
      </c>
      <c r="BJ47" s="99">
        <v>16542</v>
      </c>
      <c r="BK47" s="97"/>
      <c r="BL47" s="97"/>
      <c r="BM47" s="97"/>
      <c r="BN47" s="97"/>
    </row>
    <row r="48" spans="1:66" ht="12.75">
      <c r="A48" s="79" t="s">
        <v>24</v>
      </c>
      <c r="B48" s="94" t="s">
        <v>7</v>
      </c>
      <c r="C48" s="94" t="s">
        <v>7</v>
      </c>
      <c r="D48" s="99">
        <v>54615830</v>
      </c>
      <c r="E48" s="99">
        <v>8737890</v>
      </c>
      <c r="F48" s="99">
        <v>8198344.169999988</v>
      </c>
      <c r="G48" s="99">
        <v>243379</v>
      </c>
      <c r="H48" s="99">
        <v>127868</v>
      </c>
      <c r="I48" s="99">
        <v>870616</v>
      </c>
      <c r="J48" s="99">
        <v>4592627</v>
      </c>
      <c r="K48" s="99">
        <v>1679592</v>
      </c>
      <c r="L48" s="99">
        <v>10150944</v>
      </c>
      <c r="M48" s="99">
        <v>2959539</v>
      </c>
      <c r="N48" s="99">
        <v>1629320</v>
      </c>
      <c r="O48" s="99">
        <v>989730</v>
      </c>
      <c r="P48" s="99">
        <v>989730</v>
      </c>
      <c r="Q48" s="99">
        <v>108072</v>
      </c>
      <c r="R48" s="99">
        <v>238330</v>
      </c>
      <c r="S48" s="99">
        <v>206300</v>
      </c>
      <c r="T48" s="99">
        <v>154264</v>
      </c>
      <c r="U48" s="99">
        <v>38486</v>
      </c>
      <c r="V48" s="99">
        <v>176535</v>
      </c>
      <c r="W48" s="99">
        <v>307276</v>
      </c>
      <c r="X48" s="99">
        <v>221506</v>
      </c>
      <c r="Y48" s="99">
        <v>578574</v>
      </c>
      <c r="Z48" s="99">
        <v>318377</v>
      </c>
      <c r="AA48" s="99">
        <v>0</v>
      </c>
      <c r="AB48" s="99">
        <v>0</v>
      </c>
      <c r="AC48" s="99">
        <v>0</v>
      </c>
      <c r="AD48" s="98">
        <v>0</v>
      </c>
      <c r="AE48" s="101">
        <v>0.1599882305185145</v>
      </c>
      <c r="AF48" s="101">
        <v>0.15010930292554353</v>
      </c>
      <c r="AG48" s="98">
        <v>445.6198871279627</v>
      </c>
      <c r="AH48" s="98">
        <v>234.12259778895606</v>
      </c>
      <c r="AI48" s="101">
        <v>0.015940726342527432</v>
      </c>
      <c r="AJ48" s="101">
        <v>0.7248631360507991</v>
      </c>
      <c r="AK48" s="101">
        <v>0.7467412166569077</v>
      </c>
      <c r="AL48" s="101">
        <v>0.7559681673907895</v>
      </c>
      <c r="AM48" s="101">
        <v>0.5147293797466616</v>
      </c>
      <c r="AN48" s="101">
        <v>0.5752927626212945</v>
      </c>
      <c r="AO48" s="98">
        <v>1812.1669120472948</v>
      </c>
      <c r="AP48" s="98">
        <v>1</v>
      </c>
      <c r="AQ48" s="101">
        <v>0.10919341638628717</v>
      </c>
      <c r="AR48" s="101">
        <v>0.4534552930810221</v>
      </c>
      <c r="AS48" s="98">
        <v>377.7293140102421</v>
      </c>
      <c r="AT48" s="98">
        <v>282.45290788403287</v>
      </c>
      <c r="AU48" s="98">
        <v>70.46674929228394</v>
      </c>
      <c r="AV48" s="98">
        <v>323.23046266988894</v>
      </c>
      <c r="AW48" s="98">
        <v>562.6134400960308</v>
      </c>
      <c r="AX48" s="98">
        <v>405.57105879375996</v>
      </c>
      <c r="AY48" s="98">
        <v>1059.3522061277838</v>
      </c>
      <c r="AZ48" s="98">
        <v>582.9390489900089</v>
      </c>
      <c r="BA48" s="101">
        <v>0</v>
      </c>
      <c r="BB48" s="101">
        <v>0</v>
      </c>
      <c r="BC48" s="101">
        <v>0</v>
      </c>
      <c r="BD48" s="98">
        <v>0</v>
      </c>
      <c r="BE48" s="98">
        <v>0</v>
      </c>
      <c r="BF48" s="99">
        <v>6335854</v>
      </c>
      <c r="BG48" s="99">
        <v>2249229</v>
      </c>
      <c r="BH48" s="99">
        <v>13427740</v>
      </c>
      <c r="BI48" s="99">
        <v>5749699</v>
      </c>
      <c r="BJ48" s="99">
        <v>2832158</v>
      </c>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2"/>
      <c r="BB71" s="302"/>
      <c r="BC71" s="302"/>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298"/>
      <c r="C79" s="298"/>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5"/>
      <c r="AE79" s="302"/>
      <c r="AF79" s="302"/>
      <c r="AG79" s="295"/>
      <c r="AH79" s="295"/>
      <c r="AI79" s="302"/>
      <c r="AJ79" s="302"/>
      <c r="AK79" s="302"/>
      <c r="AL79" s="302"/>
      <c r="AM79" s="302"/>
      <c r="AN79" s="302"/>
      <c r="AO79" s="295"/>
      <c r="AP79" s="295"/>
      <c r="AQ79" s="302"/>
      <c r="AR79" s="302"/>
      <c r="AS79" s="295"/>
      <c r="AT79" s="295"/>
      <c r="AU79" s="295"/>
      <c r="AV79" s="295"/>
      <c r="AW79" s="295"/>
      <c r="AX79" s="295"/>
      <c r="AY79" s="295"/>
      <c r="AZ79" s="295"/>
      <c r="BA79" s="302"/>
      <c r="BB79" s="302"/>
      <c r="BC79" s="302"/>
      <c r="BD79" s="295"/>
      <c r="BE79" s="295"/>
      <c r="BF79" s="299"/>
      <c r="BG79" s="299"/>
      <c r="BH79" s="299"/>
      <c r="BI79" s="299"/>
      <c r="BJ79" s="299"/>
      <c r="BK79" s="97"/>
      <c r="BL79" s="97"/>
      <c r="BM79" s="97"/>
      <c r="BN79" s="97"/>
    </row>
    <row r="80" spans="1:66" ht="12.75">
      <c r="A80" s="8"/>
      <c r="B80" s="298"/>
      <c r="C80" s="298"/>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5"/>
      <c r="AE80" s="302"/>
      <c r="AF80" s="302"/>
      <c r="AG80" s="295"/>
      <c r="AH80" s="295"/>
      <c r="AI80" s="302"/>
      <c r="AJ80" s="302"/>
      <c r="AK80" s="302"/>
      <c r="AL80" s="302"/>
      <c r="AM80" s="302"/>
      <c r="AN80" s="302"/>
      <c r="AO80" s="295"/>
      <c r="AP80" s="295"/>
      <c r="AQ80" s="302"/>
      <c r="AR80" s="302"/>
      <c r="AS80" s="295"/>
      <c r="AT80" s="295"/>
      <c r="AU80" s="295"/>
      <c r="AV80" s="295"/>
      <c r="AW80" s="295"/>
      <c r="AX80" s="295"/>
      <c r="AY80" s="295"/>
      <c r="AZ80" s="295"/>
      <c r="BA80" s="302"/>
      <c r="BB80" s="302"/>
      <c r="BC80" s="302"/>
      <c r="BD80" s="295"/>
      <c r="BE80" s="295"/>
      <c r="BF80" s="299"/>
      <c r="BG80" s="299"/>
      <c r="BH80" s="299"/>
      <c r="BI80" s="299"/>
      <c r="BJ80" s="299"/>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298"/>
      <c r="C87" s="298"/>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5"/>
      <c r="AE87" s="302"/>
      <c r="AF87" s="302"/>
      <c r="AG87" s="295"/>
      <c r="AH87" s="295"/>
      <c r="AI87" s="302"/>
      <c r="AJ87" s="302"/>
      <c r="AK87" s="302"/>
      <c r="AL87" s="302"/>
      <c r="AM87" s="302"/>
      <c r="AN87" s="302"/>
      <c r="AO87" s="295"/>
      <c r="AP87" s="295"/>
      <c r="AQ87" s="302"/>
      <c r="AR87" s="302"/>
      <c r="AS87" s="295"/>
      <c r="AT87" s="295"/>
      <c r="AU87" s="295"/>
      <c r="AV87" s="295"/>
      <c r="AW87" s="295"/>
      <c r="AX87" s="295"/>
      <c r="AY87" s="295"/>
      <c r="AZ87" s="295"/>
      <c r="BA87" s="302"/>
      <c r="BB87" s="302"/>
      <c r="BC87" s="302"/>
      <c r="BD87" s="295"/>
      <c r="BE87" s="295"/>
      <c r="BF87" s="299"/>
      <c r="BG87" s="299"/>
      <c r="BH87" s="299"/>
      <c r="BI87" s="299"/>
      <c r="BJ87" s="299"/>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2"/>
      <c r="BB113" s="302"/>
      <c r="BC113" s="302"/>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331</v>
      </c>
      <c r="O4" s="75" t="s">
        <v>330</v>
      </c>
      <c r="P4" s="75" t="s">
        <v>458</v>
      </c>
      <c r="Q4" s="75" t="s">
        <v>459</v>
      </c>
      <c r="R4" s="75" t="s">
        <v>460</v>
      </c>
      <c r="S4" s="75" t="s">
        <v>461</v>
      </c>
      <c r="T4" s="39" t="s">
        <v>278</v>
      </c>
      <c r="U4" s="40" t="s">
        <v>279</v>
      </c>
      <c r="V4" s="41" t="s">
        <v>7</v>
      </c>
      <c r="W4" s="24" t="s">
        <v>2</v>
      </c>
      <c r="X4" s="24" t="s">
        <v>3</v>
      </c>
      <c r="Y4" s="75" t="s">
        <v>565</v>
      </c>
      <c r="Z4" s="75" t="s">
        <v>564</v>
      </c>
      <c r="AA4" s="26" t="s">
        <v>280</v>
      </c>
      <c r="AB4" s="24" t="s">
        <v>5</v>
      </c>
      <c r="AC4" s="75" t="s">
        <v>35</v>
      </c>
      <c r="AD4" s="24" t="s">
        <v>6</v>
      </c>
      <c r="AE4" s="24" t="s">
        <v>281</v>
      </c>
      <c r="AF4" s="24" t="s">
        <v>16</v>
      </c>
      <c r="AG4" s="24" t="s">
        <v>15</v>
      </c>
      <c r="AH4" s="24" t="s">
        <v>14</v>
      </c>
      <c r="AI4" s="25" t="s">
        <v>30</v>
      </c>
      <c r="AJ4" s="47" t="s">
        <v>10</v>
      </c>
      <c r="AK4" s="26" t="s">
        <v>21</v>
      </c>
      <c r="AL4" s="25" t="s">
        <v>22</v>
      </c>
      <c r="AQ4" s="102" t="s">
        <v>373</v>
      </c>
      <c r="AR4" s="102" t="s">
        <v>375</v>
      </c>
      <c r="AS4" s="102" t="s">
        <v>374</v>
      </c>
      <c r="AY4" s="102" t="s">
        <v>455</v>
      </c>
      <c r="AZ4" s="102" t="s">
        <v>456</v>
      </c>
      <c r="BA4" s="102" t="s">
        <v>457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396</v>
      </c>
      <c r="BA5" s="103" t="s">
        <v>326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381</v>
      </c>
      <c r="BA6" s="103" t="s">
        <v>326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1179</v>
      </c>
      <c r="E7" s="38">
        <f>IF(LEFT(VLOOKUP($B7,'Indicator chart'!$D$1:$J$36,5,FALSE),1)=" "," ",VLOOKUP($B7,'Indicator chart'!$D$1:$J$36,5,FALSE))</f>
        <v>0.1268423883808499</v>
      </c>
      <c r="F7" s="38">
        <f>IF(LEFT(VLOOKUP($B7,'Indicator chart'!$D$1:$J$36,6,FALSE),1)=" "," ",VLOOKUP($B7,'Indicator chart'!$D$1:$J$36,6,FALSE))</f>
        <v>0.12023053512059405</v>
      </c>
      <c r="G7" s="38">
        <f>IF(LEFT(VLOOKUP($B7,'Indicator chart'!$D$1:$J$36,7,FALSE),1)=" "," ",VLOOKUP($B7,'Indicator chart'!$D$1:$J$36,7,FALSE))</f>
        <v>0.13376256440698583</v>
      </c>
      <c r="H7" s="50">
        <f aca="true" t="shared" si="0" ref="H7:H31">IF(LEFT(F7,1)=" ",4,IF(AND(ABS(N7-E7)&gt;SQRT((E7-G7)^2+(N7-R7)^2),E7&lt;N7),1,IF(AND(ABS(N7-E7)&gt;SQRT((E7-F7)^2+(N7-S7)^2),E7&gt;N7),3,2)))</f>
        <v>1</v>
      </c>
      <c r="I7" s="38">
        <v>0.05974534898996353</v>
      </c>
      <c r="J7" s="38">
        <v>0.1534363478422165</v>
      </c>
      <c r="K7" s="38">
        <v>0.1822093278169632</v>
      </c>
      <c r="L7" s="38">
        <v>0.21951435506343842</v>
      </c>
      <c r="M7" s="38">
        <v>0.3032724857330322</v>
      </c>
      <c r="N7" s="80">
        <f>VLOOKUP('Hide - Control'!B$3,'All practice data'!A:CA,A7+29,FALSE)</f>
        <v>0.18720015273629806</v>
      </c>
      <c r="O7" s="80">
        <f>VLOOKUP('Hide - Control'!C$3,'All practice data'!A:CA,A7+29,FALSE)</f>
        <v>0.1599882305185145</v>
      </c>
      <c r="P7" s="38">
        <f>VLOOKUP('Hide - Control'!$B$4,'All practice data'!B:BC,A7+2,FALSE)</f>
        <v>68636</v>
      </c>
      <c r="Q7" s="38">
        <f>VLOOKUP('Hide - Control'!$B$4,'All practice data'!B:BC,3,FALSE)</f>
        <v>366645</v>
      </c>
      <c r="R7" s="38">
        <f>+((2*P7+1.96^2-1.96*SQRT(1.96^2+4*P7*(1-P7/Q7)))/(2*(Q7+1.96^2)))</f>
        <v>0.1859407967034972</v>
      </c>
      <c r="S7" s="38">
        <f>+((2*P7+1.96^2+1.96*SQRT(1.96^2+4*P7*(1-P7/Q7)))/(2*(Q7+1.96^2)))</f>
        <v>0.1884660635526243</v>
      </c>
      <c r="T7" s="53">
        <f>IF($C7=1,M7,I7)</f>
        <v>0.3032724857330322</v>
      </c>
      <c r="U7" s="51">
        <f aca="true" t="shared" si="1" ref="U7:U15">IF($C7=1,I7,M7)</f>
        <v>0.05974534898996353</v>
      </c>
      <c r="V7" s="7">
        <v>1</v>
      </c>
      <c r="W7" s="27">
        <f aca="true" t="shared" si="2" ref="W7:W31">IF((K7-I7)&gt;(M7-K7),I7,(K7-(M7-K7)))</f>
        <v>0.05974534898996353</v>
      </c>
      <c r="X7" s="27">
        <f aca="true" t="shared" si="3" ref="X7:X31">IF(W7=I7,K7+(K7-I7),M7)</f>
        <v>0.30467330664396286</v>
      </c>
      <c r="Y7" s="27">
        <f aca="true" t="shared" si="4" ref="Y7:Y31">IF(C7=1,W7,X7)</f>
        <v>0.05974534898996353</v>
      </c>
      <c r="Z7" s="27">
        <f aca="true" t="shared" si="5" ref="Z7:Z31">IF(C7=1,X7,W7)</f>
        <v>0.30467330664396286</v>
      </c>
      <c r="AA7" s="32">
        <f aca="true" t="shared" si="6" ref="AA7:AA31">IF(ISERROR(IF(C7=1,(I7-$Y7)/($Z7-$Y7),(U7-$Y7)/($Z7-$Y7))),"",IF(C7=1,(I7-$Y7)/($Z7-$Y7),(U7-$Y7)/($Z7-$Y7)))</f>
        <v>0</v>
      </c>
      <c r="AB7" s="33">
        <f aca="true" t="shared" si="7" ref="AB7:AB31">IF(ISERROR(IF(C7=1,(J7-$Y7)/($Z7-$Y7),(L7-$Y7)/($Z7-$Y7))),"",IF(C7=1,(J7-$Y7)/($Z7-$Y7),(L7-$Y7)/($Z7-$Y7)))</f>
        <v>0.3825247217575985</v>
      </c>
      <c r="AC7" s="33">
        <v>0.5</v>
      </c>
      <c r="AD7" s="33">
        <f aca="true" t="shared" si="8" ref="AD7:AD31">IF(ISERROR(IF(C7=1,(L7-$Y7)/($Z7-$Y7),(J7-$Y7)/($Z7-$Y7))),"",IF(C7=1,(L7-$Y7)/($Z7-$Y7),(J7-$Y7)/($Z7-$Y7)))</f>
        <v>0.6523102042077804</v>
      </c>
      <c r="AE7" s="33">
        <f aca="true" t="shared" si="9" ref="AE7:AE31">IF(ISERROR(IF(C7=1,(M7-$Y7)/($Z7-$Y7),(I7-$Y7)/($Z7-$Y7))),"",IF(C7=1,(M7-$Y7)/($Z7-$Y7),(I7-$Y7)/($Z7-$Y7)))</f>
        <v>0.9942806818611147</v>
      </c>
      <c r="AF7" s="33">
        <f aca="true" t="shared" si="10" ref="AF7:AF30">IF(E7=" ",-999,IF(H7=4,(E7-$Y7)/($Z7-$Y7),-999))</f>
        <v>-999</v>
      </c>
      <c r="AG7" s="33">
        <f aca="true" t="shared" si="11" ref="AG7:AG31">IF(E7=" ",-999,IF(H7=2,(E7-$Y7)/($Z7-$Y7),-999))</f>
        <v>-999</v>
      </c>
      <c r="AH7" s="33">
        <f aca="true" t="shared" si="12" ref="AH7:AH31">IF(E7=" ",-999,IF(MAX(AK7:AL7)&gt;-999,MAX(AK7:AL7),-999))</f>
        <v>0.27394602083634684</v>
      </c>
      <c r="AI7" s="34">
        <f aca="true" t="shared" si="13" ref="AI7:AI31">IF(ISERROR((O7-$Y7)/($Z7-$Y7)),-999,(O7-$Y7)/($Z7-$Y7))</f>
        <v>0.40927496594798857</v>
      </c>
      <c r="AJ7" s="4">
        <v>2.7020512924389086</v>
      </c>
      <c r="AK7" s="32">
        <f aca="true" t="shared" si="14" ref="AK7:AK31">IF(H7=1,(E7-$Y7)/($Z7-$Y7),-999)</f>
        <v>0.27394602083634684</v>
      </c>
      <c r="AL7" s="34">
        <f aca="true" t="shared" si="15" ref="AL7:AL31">IF(H7=3,(E7-$Y7)/($Z7-$Y7),-999)</f>
        <v>-999</v>
      </c>
      <c r="AQ7" s="103">
        <v>2</v>
      </c>
      <c r="AR7" s="103">
        <v>0.2422</v>
      </c>
      <c r="AS7" s="103">
        <v>7.2247</v>
      </c>
      <c r="AY7" s="103" t="s">
        <v>68</v>
      </c>
      <c r="AZ7" s="103" t="s">
        <v>380</v>
      </c>
      <c r="BA7" s="103" t="s">
        <v>326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0.12</v>
      </c>
      <c r="F8" s="38">
        <f>IF(LEFT(VLOOKUP($B8,'Indicator chart'!$D$1:$J$36,6,FALSE),1)=" "," ",VLOOKUP($B8,'Indicator chart'!$D$1:$J$36,6,FALSE))</f>
        <v>0.11355011085261084</v>
      </c>
      <c r="G8" s="38">
        <f>IF(LEFT(VLOOKUP($B8,'Indicator chart'!$D$1:$J$36,7,FALSE),1)=" "," ",VLOOKUP($B8,'Indicator chart'!$D$1:$J$36,7,FALSE))</f>
        <v>0.12676386546030968</v>
      </c>
      <c r="H8" s="50">
        <f t="shared" si="0"/>
        <v>1</v>
      </c>
      <c r="I8" s="38">
        <v>0.05000000074505806</v>
      </c>
      <c r="J8" s="38">
        <v>0.11500000208616257</v>
      </c>
      <c r="K8" s="38">
        <v>0.12999999523162842</v>
      </c>
      <c r="L8" s="38">
        <v>0.17499999701976776</v>
      </c>
      <c r="M8" s="38">
        <v>0.23999999463558197</v>
      </c>
      <c r="N8" s="80">
        <f>VLOOKUP('Hide - Control'!B$3,'All practice data'!A:CA,A8+29,FALSE)</f>
        <v>0.13143823044088965</v>
      </c>
      <c r="O8" s="80">
        <f>VLOOKUP('Hide - Control'!C$3,'All practice data'!A:CA,A8+29,FALSE)</f>
        <v>0.15010930292554353</v>
      </c>
      <c r="P8" s="38">
        <f>VLOOKUP('Hide - Control'!$B$4,'All practice data'!B:BC,A8+2,FALSE)</f>
        <v>48191.169999999984</v>
      </c>
      <c r="Q8" s="38">
        <f>VLOOKUP('Hide - Control'!$B$4,'All practice data'!B:BC,3,FALSE)</f>
        <v>366645</v>
      </c>
      <c r="R8" s="38">
        <f>+((2*P8+1.96^2-1.96*SQRT(1.96^2+4*P8*(1-P8/Q8)))/(2*(Q8+1.96^2)))</f>
        <v>0.1303484006099224</v>
      </c>
      <c r="S8" s="38">
        <f>+((2*P8+1.96^2+1.96*SQRT(1.96^2+4*P8*(1-P8/Q8)))/(2*(Q8+1.96^2)))</f>
        <v>0.1325357835576459</v>
      </c>
      <c r="T8" s="53">
        <f aca="true" t="shared" si="16" ref="T8:T15">IF($C8=1,M8,I8)</f>
        <v>0.23999999463558197</v>
      </c>
      <c r="U8" s="51">
        <f t="shared" si="1"/>
        <v>0.05000000074505806</v>
      </c>
      <c r="V8" s="7"/>
      <c r="W8" s="27">
        <f t="shared" si="2"/>
        <v>0.019999995827674866</v>
      </c>
      <c r="X8" s="27">
        <f t="shared" si="3"/>
        <v>0.23999999463558197</v>
      </c>
      <c r="Y8" s="27">
        <f t="shared" si="4"/>
        <v>0.019999995827674866</v>
      </c>
      <c r="Z8" s="27">
        <f t="shared" si="5"/>
        <v>0.23999999463558197</v>
      </c>
      <c r="AA8" s="32">
        <f t="shared" si="6"/>
        <v>0.13636365945427883</v>
      </c>
      <c r="AB8" s="33">
        <f t="shared" si="7"/>
        <v>0.43181821260570513</v>
      </c>
      <c r="AC8" s="33">
        <v>0.5</v>
      </c>
      <c r="AD8" s="33">
        <f t="shared" si="8"/>
        <v>0.7045454637817116</v>
      </c>
      <c r="AE8" s="33">
        <f t="shared" si="9"/>
        <v>1</v>
      </c>
      <c r="AF8" s="33">
        <f t="shared" si="10"/>
        <v>-999</v>
      </c>
      <c r="AG8" s="33">
        <f t="shared" si="11"/>
        <v>-999</v>
      </c>
      <c r="AH8" s="33">
        <f t="shared" si="12"/>
        <v>0.45454547597357076</v>
      </c>
      <c r="AI8" s="34">
        <f t="shared" si="13"/>
        <v>0.5914059445585431</v>
      </c>
      <c r="AJ8" s="4">
        <v>3.778046717820832</v>
      </c>
      <c r="AK8" s="32">
        <f t="shared" si="14"/>
        <v>0.45454547597357076</v>
      </c>
      <c r="AL8" s="34">
        <f t="shared" si="15"/>
        <v>-999</v>
      </c>
      <c r="AQ8" s="103">
        <v>3</v>
      </c>
      <c r="AR8" s="103">
        <v>0.6187</v>
      </c>
      <c r="AS8" s="103">
        <v>8.7673</v>
      </c>
      <c r="AY8" s="103" t="s">
        <v>118</v>
      </c>
      <c r="AZ8" s="103" t="s">
        <v>119</v>
      </c>
      <c r="BA8" s="103" t="s">
        <v>326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32</v>
      </c>
      <c r="E9" s="38">
        <f>IF(LEFT(VLOOKUP($B9,'Indicator chart'!$D$1:$J$36,5,FALSE),1)=" "," ",VLOOKUP($B9,'Indicator chart'!$D$1:$J$36,5,FALSE))</f>
        <v>344.2711135018827</v>
      </c>
      <c r="F9" s="38">
        <f>IF(LEFT(VLOOKUP($B9,'Indicator chart'!$D$1:$J$36,6,FALSE),1)=" "," ",VLOOKUP($B9,'Indicator chart'!$D$1:$J$36,6,FALSE))</f>
        <v>235.43883617337514</v>
      </c>
      <c r="G9" s="38">
        <f>IF(LEFT(VLOOKUP($B9,'Indicator chart'!$D$1:$J$36,7,FALSE),1)=" "," ",VLOOKUP($B9,'Indicator chart'!$D$1:$J$36,7,FALSE))</f>
        <v>486.0269476950727</v>
      </c>
      <c r="H9" s="50">
        <f t="shared" si="0"/>
        <v>2</v>
      </c>
      <c r="I9" s="38">
        <v>223.11468505859375</v>
      </c>
      <c r="J9" s="38">
        <v>404.98931884765625</v>
      </c>
      <c r="K9" s="38">
        <v>491.2532958984375</v>
      </c>
      <c r="L9" s="38">
        <v>569.9746704101562</v>
      </c>
      <c r="M9" s="38">
        <v>925.45849609375</v>
      </c>
      <c r="N9" s="80">
        <f>VLOOKUP('Hide - Control'!B$3,'All practice data'!A:CA,A9+29,FALSE)</f>
        <v>486.301463268284</v>
      </c>
      <c r="O9" s="80">
        <f>VLOOKUP('Hide - Control'!C$3,'All practice data'!A:CA,A9+29,FALSE)</f>
        <v>445.6198871279627</v>
      </c>
      <c r="P9" s="38">
        <f>VLOOKUP('Hide - Control'!$B$4,'All practice data'!B:BC,A9+2,FALSE)</f>
        <v>1783</v>
      </c>
      <c r="Q9" s="38">
        <f>VLOOKUP('Hide - Control'!$B$4,'All practice data'!B:BC,3,FALSE)</f>
        <v>366645</v>
      </c>
      <c r="R9" s="38">
        <f>100000*(P9*(1-1/(9*P9)-1.96/(3*SQRT(P9)))^3)/Q9</f>
        <v>463.9879734765178</v>
      </c>
      <c r="S9" s="38">
        <f>100000*((P9+1)*(1-1/(9*(P9+1))+1.96/(3*SQRT(P9+1)))^3)/Q9</f>
        <v>509.41067874665765</v>
      </c>
      <c r="T9" s="53">
        <f t="shared" si="16"/>
        <v>925.45849609375</v>
      </c>
      <c r="U9" s="51">
        <f t="shared" si="1"/>
        <v>223.11468505859375</v>
      </c>
      <c r="V9" s="7"/>
      <c r="W9" s="27">
        <f t="shared" si="2"/>
        <v>57.048095703125</v>
      </c>
      <c r="X9" s="27">
        <f t="shared" si="3"/>
        <v>925.45849609375</v>
      </c>
      <c r="Y9" s="27">
        <f t="shared" si="4"/>
        <v>57.048095703125</v>
      </c>
      <c r="Z9" s="27">
        <f t="shared" si="5"/>
        <v>925.45849609375</v>
      </c>
      <c r="AA9" s="32">
        <f t="shared" si="6"/>
        <v>0.1912305394785338</v>
      </c>
      <c r="AB9" s="33">
        <f t="shared" si="7"/>
        <v>0.400664504925346</v>
      </c>
      <c r="AC9" s="33">
        <v>0.5</v>
      </c>
      <c r="AD9" s="33">
        <f t="shared" si="8"/>
        <v>0.5906499674305014</v>
      </c>
      <c r="AE9" s="33">
        <f t="shared" si="9"/>
        <v>1</v>
      </c>
      <c r="AF9" s="33">
        <f t="shared" si="10"/>
        <v>-999</v>
      </c>
      <c r="AG9" s="33">
        <f t="shared" si="11"/>
        <v>0.330745713857826</v>
      </c>
      <c r="AH9" s="33">
        <f t="shared" si="12"/>
        <v>-999</v>
      </c>
      <c r="AI9" s="34">
        <f t="shared" si="13"/>
        <v>0.44745179381782146</v>
      </c>
      <c r="AJ9" s="4">
        <v>4.854042143202755</v>
      </c>
      <c r="AK9" s="32">
        <f t="shared" si="14"/>
        <v>-999</v>
      </c>
      <c r="AL9" s="34">
        <f t="shared" si="15"/>
        <v>-999</v>
      </c>
      <c r="AQ9" s="103">
        <v>4</v>
      </c>
      <c r="AR9" s="103">
        <v>1.0899</v>
      </c>
      <c r="AS9" s="103">
        <v>10.2416</v>
      </c>
      <c r="AY9" s="103" t="s">
        <v>90</v>
      </c>
      <c r="AZ9" s="103" t="s">
        <v>390</v>
      </c>
      <c r="BA9" s="103" t="s">
        <v>326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23</v>
      </c>
      <c r="E10" s="38">
        <f>IF(LEFT(VLOOKUP($B10,'Indicator chart'!$D$1:$J$36,5,FALSE),1)=" "," ",VLOOKUP($B10,'Indicator chart'!$D$1:$J$36,5,FALSE))</f>
        <v>247.4448628294782</v>
      </c>
      <c r="F10" s="38">
        <f>IF(LEFT(VLOOKUP($B10,'Indicator chart'!$D$1:$J$36,6,FALSE),1)=" "," ",VLOOKUP($B10,'Indicator chart'!$D$1:$J$36,6,FALSE))</f>
        <v>156.80735068671427</v>
      </c>
      <c r="G10" s="38">
        <f>IF(LEFT(VLOOKUP($B10,'Indicator chart'!$D$1:$J$36,7,FALSE),1)=" "," ",VLOOKUP($B10,'Indicator chart'!$D$1:$J$36,7,FALSE))</f>
        <v>371.3075317038902</v>
      </c>
      <c r="H10" s="50">
        <f t="shared" si="0"/>
        <v>2</v>
      </c>
      <c r="I10" s="38">
        <v>44.173431396484375</v>
      </c>
      <c r="J10" s="38">
        <v>220.92697143554688</v>
      </c>
      <c r="K10" s="38">
        <v>259.6624450683594</v>
      </c>
      <c r="L10" s="38">
        <v>324.23492431640625</v>
      </c>
      <c r="M10" s="38">
        <v>471.9803161621094</v>
      </c>
      <c r="N10" s="80">
        <f>VLOOKUP('Hide - Control'!B$3,'All practice data'!A:CA,A10+29,FALSE)</f>
        <v>268.92498193075045</v>
      </c>
      <c r="O10" s="80">
        <f>VLOOKUP('Hide - Control'!C$3,'All practice data'!A:CA,A10+29,FALSE)</f>
        <v>234.12259778895606</v>
      </c>
      <c r="P10" s="38">
        <f>VLOOKUP('Hide - Control'!$B$4,'All practice data'!B:BC,A10+2,FALSE)</f>
        <v>986</v>
      </c>
      <c r="Q10" s="38">
        <f>VLOOKUP('Hide - Control'!$B$4,'All practice data'!B:BC,3,FALSE)</f>
        <v>366645</v>
      </c>
      <c r="R10" s="38">
        <f>100000*(P10*(1-1/(9*P10)-1.96/(3*SQRT(P10)))^3)/Q10</f>
        <v>252.39859643896483</v>
      </c>
      <c r="S10" s="38">
        <f>100000*((P10+1)*(1-1/(9*(P10+1))+1.96/(3*SQRT(P10+1)))^3)/Q10</f>
        <v>286.2492484256388</v>
      </c>
      <c r="T10" s="53">
        <f t="shared" si="16"/>
        <v>471.9803161621094</v>
      </c>
      <c r="U10" s="51">
        <f t="shared" si="1"/>
        <v>44.173431396484375</v>
      </c>
      <c r="V10" s="7"/>
      <c r="W10" s="27">
        <f t="shared" si="2"/>
        <v>44.173431396484375</v>
      </c>
      <c r="X10" s="27">
        <f t="shared" si="3"/>
        <v>475.1514587402344</v>
      </c>
      <c r="Y10" s="27">
        <f t="shared" si="4"/>
        <v>44.173431396484375</v>
      </c>
      <c r="Z10" s="27">
        <f t="shared" si="5"/>
        <v>475.1514587402344</v>
      </c>
      <c r="AA10" s="32">
        <f t="shared" si="6"/>
        <v>0</v>
      </c>
      <c r="AB10" s="33">
        <f t="shared" si="7"/>
        <v>0.4101219292511242</v>
      </c>
      <c r="AC10" s="33">
        <v>0.5</v>
      </c>
      <c r="AD10" s="33">
        <f t="shared" si="8"/>
        <v>0.6498277757825077</v>
      </c>
      <c r="AE10" s="33">
        <f t="shared" si="9"/>
        <v>0.9926419854913028</v>
      </c>
      <c r="AF10" s="33">
        <f t="shared" si="10"/>
        <v>-999</v>
      </c>
      <c r="AG10" s="33">
        <f t="shared" si="11"/>
        <v>0.4716514962162181</v>
      </c>
      <c r="AH10" s="33">
        <f t="shared" si="12"/>
        <v>-999</v>
      </c>
      <c r="AI10" s="34">
        <f t="shared" si="13"/>
        <v>0.4407397926135278</v>
      </c>
      <c r="AJ10" s="4">
        <v>5.930037568584676</v>
      </c>
      <c r="AK10" s="32">
        <f t="shared" si="14"/>
        <v>-999</v>
      </c>
      <c r="AL10" s="34">
        <f t="shared" si="15"/>
        <v>-999</v>
      </c>
      <c r="AY10" s="103" t="s">
        <v>96</v>
      </c>
      <c r="AZ10" s="103" t="s">
        <v>97</v>
      </c>
      <c r="BA10" s="103" t="s">
        <v>507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109</v>
      </c>
      <c r="E11" s="38">
        <f>IF(LEFT(VLOOKUP($B11,'Indicator chart'!$D$1:$J$36,5,FALSE),1)=" "," ",VLOOKUP($B11,'Indicator chart'!$D$1:$J$36,5,FALSE))</f>
        <v>0.012</v>
      </c>
      <c r="F11" s="38">
        <f>IF(LEFT(VLOOKUP($B11,'Indicator chart'!$D$1:$J$36,6,FALSE),1)=" "," ",VLOOKUP($B11,'Indicator chart'!$D$1:$J$36,6,FALSE))</f>
        <v>0.009731067283460208</v>
      </c>
      <c r="G11" s="38">
        <f>IF(LEFT(VLOOKUP($B11,'Indicator chart'!$D$1:$J$36,7,FALSE),1)=" "," ",VLOOKUP($B11,'Indicator chart'!$D$1:$J$36,7,FALSE))</f>
        <v>0.014125839796234538</v>
      </c>
      <c r="H11" s="50">
        <f t="shared" si="0"/>
        <v>1</v>
      </c>
      <c r="I11" s="38">
        <v>0.008999999612569809</v>
      </c>
      <c r="J11" s="38">
        <v>0.014499999582767487</v>
      </c>
      <c r="K11" s="38">
        <v>0.017999999225139618</v>
      </c>
      <c r="L11" s="38">
        <v>0.0215000007301569</v>
      </c>
      <c r="M11" s="38">
        <v>0.03500000014901161</v>
      </c>
      <c r="N11" s="80">
        <f>VLOOKUP('Hide - Control'!B$3,'All practice data'!A:CA,A11+29,FALSE)</f>
        <v>0.019582975357634768</v>
      </c>
      <c r="O11" s="80">
        <f>VLOOKUP('Hide - Control'!C$3,'All practice data'!A:CA,A11+29,FALSE)</f>
        <v>0.015940726342527432</v>
      </c>
      <c r="P11" s="38">
        <f>VLOOKUP('Hide - Control'!$B$4,'All practice data'!B:BC,A11+2,FALSE)</f>
        <v>7180</v>
      </c>
      <c r="Q11" s="38">
        <f>VLOOKUP('Hide - Control'!$B$4,'All practice data'!B:BC,3,FALSE)</f>
        <v>366645</v>
      </c>
      <c r="R11" s="80">
        <f aca="true" t="shared" si="17" ref="R11:R16">+((2*P11+1.96^2-1.96*SQRT(1.96^2+4*P11*(1-P11/Q11)))/(2*(Q11+1.96^2)))</f>
        <v>0.019139467071288437</v>
      </c>
      <c r="S11" s="80">
        <f aca="true" t="shared" si="18" ref="S11:S16">+((2*P11+1.96^2+1.96*SQRT(1.96^2+4*P11*(1-P11/Q11)))/(2*(Q11+1.96^2)))</f>
        <v>0.020036550879070743</v>
      </c>
      <c r="T11" s="53">
        <f t="shared" si="16"/>
        <v>0.03500000014901161</v>
      </c>
      <c r="U11" s="51">
        <f t="shared" si="1"/>
        <v>0.008999999612569809</v>
      </c>
      <c r="V11" s="7"/>
      <c r="W11" s="27">
        <f t="shared" si="2"/>
        <v>0.000999998301267624</v>
      </c>
      <c r="X11" s="27">
        <f t="shared" si="3"/>
        <v>0.03500000014901161</v>
      </c>
      <c r="Y11" s="27">
        <f t="shared" si="4"/>
        <v>0.000999998301267624</v>
      </c>
      <c r="Z11" s="27">
        <f t="shared" si="5"/>
        <v>0.03500000014901161</v>
      </c>
      <c r="AA11" s="32">
        <f t="shared" si="6"/>
        <v>0.23529414342761312</v>
      </c>
      <c r="AB11" s="33">
        <f t="shared" si="7"/>
        <v>0.3970588396422582</v>
      </c>
      <c r="AC11" s="33">
        <v>0.5</v>
      </c>
      <c r="AD11" s="33">
        <f t="shared" si="8"/>
        <v>0.6029412151414196</v>
      </c>
      <c r="AE11" s="33">
        <f t="shared" si="9"/>
        <v>1</v>
      </c>
      <c r="AF11" s="33">
        <f t="shared" si="10"/>
        <v>-999</v>
      </c>
      <c r="AG11" s="33">
        <f t="shared" si="11"/>
        <v>-999</v>
      </c>
      <c r="AH11" s="33">
        <f t="shared" si="12"/>
        <v>0.3235294441450821</v>
      </c>
      <c r="AI11" s="34">
        <f t="shared" si="13"/>
        <v>0.43943315380293646</v>
      </c>
      <c r="AJ11" s="4">
        <v>7.0060329939666</v>
      </c>
      <c r="AK11" s="32">
        <f t="shared" si="14"/>
        <v>0.3235294441450821</v>
      </c>
      <c r="AL11" s="34">
        <f t="shared" si="15"/>
        <v>-999</v>
      </c>
      <c r="AY11" s="103" t="s">
        <v>214</v>
      </c>
      <c r="AZ11" s="103" t="s">
        <v>215</v>
      </c>
      <c r="BA11" s="103" t="s">
        <v>507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573</v>
      </c>
      <c r="E12" s="38">
        <f>IF(LEFT(VLOOKUP($B12,'Indicator chart'!$D$1:$J$36,5,FALSE),1)=" "," ",VLOOKUP($B12,'Indicator chart'!$D$1:$J$36,5,FALSE))</f>
        <v>0.688702</v>
      </c>
      <c r="F12" s="38">
        <f>IF(LEFT(VLOOKUP($B12,'Indicator chart'!$D$1:$J$36,6,FALSE),1)=" "," ",VLOOKUP($B12,'Indicator chart'!$D$1:$J$36,6,FALSE))</f>
        <v>0.6564321745494861</v>
      </c>
      <c r="G12" s="38">
        <f>IF(LEFT(VLOOKUP($B12,'Indicator chart'!$D$1:$J$36,7,FALSE),1)=" "," ",VLOOKUP($B12,'Indicator chart'!$D$1:$J$36,7,FALSE))</f>
        <v>0.7192370910147069</v>
      </c>
      <c r="H12" s="50">
        <f t="shared" si="0"/>
        <v>1</v>
      </c>
      <c r="I12" s="38">
        <v>0.46357598900794983</v>
      </c>
      <c r="J12" s="38">
        <v>0.6637129783630371</v>
      </c>
      <c r="K12" s="38">
        <v>0.7287290096282959</v>
      </c>
      <c r="L12" s="38">
        <v>0.7592675089836121</v>
      </c>
      <c r="M12" s="38">
        <v>0.8684210181236267</v>
      </c>
      <c r="N12" s="80">
        <f>VLOOKUP('Hide - Control'!B$3,'All practice data'!A:CA,A12+29,FALSE)</f>
        <v>0.7261921344662674</v>
      </c>
      <c r="O12" s="80">
        <f>VLOOKUP('Hide - Control'!C$3,'All practice data'!A:CA,A12+29,FALSE)</f>
        <v>0.7248631360507991</v>
      </c>
      <c r="P12" s="38">
        <f>VLOOKUP('Hide - Control'!$B$4,'All practice data'!B:BC,A12+2,FALSE)</f>
        <v>31280</v>
      </c>
      <c r="Q12" s="38">
        <f>VLOOKUP('Hide - Control'!$B$4,'All practice data'!B:BJ,57,FALSE)</f>
        <v>43074</v>
      </c>
      <c r="R12" s="38">
        <f t="shared" si="17"/>
        <v>0.7219609865917327</v>
      </c>
      <c r="S12" s="38">
        <f t="shared" si="18"/>
        <v>0.7303829395719218</v>
      </c>
      <c r="T12" s="53">
        <f t="shared" si="16"/>
        <v>0.8684210181236267</v>
      </c>
      <c r="U12" s="51">
        <f t="shared" si="1"/>
        <v>0.46357598900794983</v>
      </c>
      <c r="V12" s="7"/>
      <c r="W12" s="27">
        <f t="shared" si="2"/>
        <v>0.46357598900794983</v>
      </c>
      <c r="X12" s="27">
        <f t="shared" si="3"/>
        <v>0.993882030248642</v>
      </c>
      <c r="Y12" s="27">
        <f t="shared" si="4"/>
        <v>0.46357598900794983</v>
      </c>
      <c r="Z12" s="27">
        <f t="shared" si="5"/>
        <v>0.993882030248642</v>
      </c>
      <c r="AA12" s="32">
        <f t="shared" si="6"/>
        <v>0</v>
      </c>
      <c r="AB12" s="33">
        <f t="shared" si="7"/>
        <v>0.37739903714249845</v>
      </c>
      <c r="AC12" s="33">
        <v>0.5</v>
      </c>
      <c r="AD12" s="33">
        <f t="shared" si="8"/>
        <v>0.5575865575354733</v>
      </c>
      <c r="AE12" s="33">
        <f t="shared" si="9"/>
        <v>0.7634177203950204</v>
      </c>
      <c r="AF12" s="33">
        <f t="shared" si="10"/>
        <v>-999</v>
      </c>
      <c r="AG12" s="33">
        <f t="shared" si="11"/>
        <v>-999</v>
      </c>
      <c r="AH12" s="33">
        <f t="shared" si="12"/>
        <v>0.42452092468219</v>
      </c>
      <c r="AI12" s="34">
        <f t="shared" si="13"/>
        <v>0.49271010835846357</v>
      </c>
      <c r="AJ12" s="4">
        <v>8.082028419348523</v>
      </c>
      <c r="AK12" s="32">
        <f t="shared" si="14"/>
        <v>0.42452092468219</v>
      </c>
      <c r="AL12" s="34">
        <f t="shared" si="15"/>
        <v>-999</v>
      </c>
      <c r="AY12" s="103" t="s">
        <v>261</v>
      </c>
      <c r="AZ12" s="103" t="s">
        <v>443</v>
      </c>
      <c r="BA12" s="103" t="s">
        <v>326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533</v>
      </c>
      <c r="E13" s="38">
        <f>IF(LEFT(VLOOKUP($B13,'Indicator chart'!$D$1:$J$36,5,FALSE),1)=" "," ",VLOOKUP($B13,'Indicator chart'!$D$1:$J$36,5,FALSE))</f>
        <v>0.671285</v>
      </c>
      <c r="F13" s="38">
        <f>IF(LEFT(VLOOKUP($B13,'Indicator chart'!$D$1:$J$36,6,FALSE),1)=" "," ",VLOOKUP($B13,'Indicator chart'!$D$1:$J$36,6,FALSE))</f>
        <v>0.6378537105366324</v>
      </c>
      <c r="G13" s="38">
        <f>IF(LEFT(VLOOKUP($B13,'Indicator chart'!$D$1:$J$36,7,FALSE),1)=" "," ",VLOOKUP($B13,'Indicator chart'!$D$1:$J$36,7,FALSE))</f>
        <v>0.7030660910881513</v>
      </c>
      <c r="H13" s="50">
        <f t="shared" si="0"/>
        <v>1</v>
      </c>
      <c r="I13" s="38">
        <v>0.16666699945926666</v>
      </c>
      <c r="J13" s="38">
        <v>0.5325629711151123</v>
      </c>
      <c r="K13" s="38">
        <v>0.6499999761581421</v>
      </c>
      <c r="L13" s="38">
        <v>0.730538010597229</v>
      </c>
      <c r="M13" s="38">
        <v>0.8215100169181824</v>
      </c>
      <c r="N13" s="80">
        <f>VLOOKUP('Hide - Control'!B$3,'All practice data'!A:CA,A13+29,FALSE)</f>
        <v>0.7211320510329642</v>
      </c>
      <c r="O13" s="80">
        <f>VLOOKUP('Hide - Control'!C$3,'All practice data'!A:CA,A13+29,FALSE)</f>
        <v>0.7467412166569077</v>
      </c>
      <c r="P13" s="38">
        <f>VLOOKUP('Hide - Control'!$B$4,'All practice data'!B:BC,A13+2,FALSE)</f>
        <v>11135</v>
      </c>
      <c r="Q13" s="38">
        <f>VLOOKUP('Hide - Control'!$B$4,'All practice data'!B:BJ,58,FALSE)</f>
        <v>15441</v>
      </c>
      <c r="R13" s="38">
        <f t="shared" si="17"/>
        <v>0.714004366084364</v>
      </c>
      <c r="S13" s="38">
        <f t="shared" si="18"/>
        <v>0.7281497315012013</v>
      </c>
      <c r="T13" s="53">
        <f t="shared" si="16"/>
        <v>0.8215100169181824</v>
      </c>
      <c r="U13" s="51">
        <f t="shared" si="1"/>
        <v>0.16666699945926666</v>
      </c>
      <c r="V13" s="7"/>
      <c r="W13" s="27">
        <f t="shared" si="2"/>
        <v>0.16666699945926666</v>
      </c>
      <c r="X13" s="27">
        <f t="shared" si="3"/>
        <v>1.1333329528570175</v>
      </c>
      <c r="Y13" s="27">
        <f t="shared" si="4"/>
        <v>0.16666699945926666</v>
      </c>
      <c r="Z13" s="27">
        <f t="shared" si="5"/>
        <v>1.1333329528570175</v>
      </c>
      <c r="AA13" s="32">
        <f t="shared" si="6"/>
        <v>0</v>
      </c>
      <c r="AB13" s="33">
        <f t="shared" si="7"/>
        <v>0.37851335341826364</v>
      </c>
      <c r="AC13" s="33">
        <v>0.5</v>
      </c>
      <c r="AD13" s="33">
        <f t="shared" si="8"/>
        <v>0.5833152695158057</v>
      </c>
      <c r="AE13" s="33">
        <f t="shared" si="9"/>
        <v>0.6774243110116754</v>
      </c>
      <c r="AF13" s="33">
        <f t="shared" si="10"/>
        <v>-999</v>
      </c>
      <c r="AG13" s="33">
        <f t="shared" si="11"/>
        <v>-999</v>
      </c>
      <c r="AH13" s="33">
        <f t="shared" si="12"/>
        <v>0.5220190064282733</v>
      </c>
      <c r="AI13" s="34">
        <f t="shared" si="13"/>
        <v>0.6000772191869675</v>
      </c>
      <c r="AJ13" s="4">
        <v>9.158023844730446</v>
      </c>
      <c r="AK13" s="32">
        <f t="shared" si="14"/>
        <v>0.5220190064282733</v>
      </c>
      <c r="AL13" s="34">
        <f t="shared" si="15"/>
        <v>-999</v>
      </c>
      <c r="AY13" s="103" t="s">
        <v>260</v>
      </c>
      <c r="AZ13" s="103" t="s">
        <v>442</v>
      </c>
      <c r="BA13" s="103" t="s">
        <v>326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1550</v>
      </c>
      <c r="E14" s="38">
        <f>IF(LEFT(VLOOKUP($B14,'Indicator chart'!$D$1:$J$36,5,FALSE),1)=" "," ",VLOOKUP($B14,'Indicator chart'!$D$1:$J$36,5,FALSE))</f>
        <v>0.679229</v>
      </c>
      <c r="F14" s="38">
        <f>IF(LEFT(VLOOKUP($B14,'Indicator chart'!$D$1:$J$36,6,FALSE),1)=" "," ",VLOOKUP($B14,'Indicator chart'!$D$1:$J$36,6,FALSE))</f>
        <v>0.659789709867259</v>
      </c>
      <c r="G14" s="38">
        <f>IF(LEFT(VLOOKUP($B14,'Indicator chart'!$D$1:$J$36,7,FALSE),1)=" "," ",VLOOKUP($B14,'Indicator chart'!$D$1:$J$36,7,FALSE))</f>
        <v>0.6980653576054826</v>
      </c>
      <c r="H14" s="50">
        <f t="shared" si="0"/>
        <v>1</v>
      </c>
      <c r="I14" s="38">
        <v>0.6082680225372314</v>
      </c>
      <c r="J14" s="38">
        <v>0.7413704991340637</v>
      </c>
      <c r="K14" s="38">
        <v>0.7893610000610352</v>
      </c>
      <c r="L14" s="38">
        <v>0.8181430101394653</v>
      </c>
      <c r="M14" s="38">
        <v>0.8681210279464722</v>
      </c>
      <c r="N14" s="80">
        <f>VLOOKUP('Hide - Control'!B$3,'All practice data'!A:CA,A14+29,FALSE)</f>
        <v>0.7798339154773195</v>
      </c>
      <c r="O14" s="80">
        <f>VLOOKUP('Hide - Control'!C$3,'All practice data'!A:CA,A14+29,FALSE)</f>
        <v>0.7559681673907895</v>
      </c>
      <c r="P14" s="38">
        <f>VLOOKUP('Hide - Control'!$B$4,'All practice data'!B:BC,A14+2,FALSE)</f>
        <v>67426</v>
      </c>
      <c r="Q14" s="38">
        <f>VLOOKUP('Hide - Control'!$B$4,'All practice data'!B:BJ,59,FALSE)</f>
        <v>86462</v>
      </c>
      <c r="R14" s="38">
        <f t="shared" si="17"/>
        <v>0.7770595413447051</v>
      </c>
      <c r="S14" s="38">
        <f t="shared" si="18"/>
        <v>0.7825834240688185</v>
      </c>
      <c r="T14" s="53">
        <f t="shared" si="16"/>
        <v>0.8681210279464722</v>
      </c>
      <c r="U14" s="51">
        <f t="shared" si="1"/>
        <v>0.6082680225372314</v>
      </c>
      <c r="V14" s="7"/>
      <c r="W14" s="27">
        <f t="shared" si="2"/>
        <v>0.6082680225372314</v>
      </c>
      <c r="X14" s="27">
        <f t="shared" si="3"/>
        <v>0.9704539775848389</v>
      </c>
      <c r="Y14" s="27">
        <f t="shared" si="4"/>
        <v>0.6082680225372314</v>
      </c>
      <c r="Z14" s="27">
        <f t="shared" si="5"/>
        <v>0.9704539775848389</v>
      </c>
      <c r="AA14" s="32">
        <f t="shared" si="6"/>
        <v>0</v>
      </c>
      <c r="AB14" s="33">
        <f t="shared" si="7"/>
        <v>0.3674976203296913</v>
      </c>
      <c r="AC14" s="33">
        <v>0.5</v>
      </c>
      <c r="AD14" s="33">
        <f t="shared" si="8"/>
        <v>0.5794674936377556</v>
      </c>
      <c r="AE14" s="33">
        <f t="shared" si="9"/>
        <v>0.7174574325365113</v>
      </c>
      <c r="AF14" s="33">
        <f t="shared" si="10"/>
        <v>-999</v>
      </c>
      <c r="AG14" s="33">
        <f t="shared" si="11"/>
        <v>-999</v>
      </c>
      <c r="AH14" s="33">
        <f t="shared" si="12"/>
        <v>0.19592415573773722</v>
      </c>
      <c r="AI14" s="34">
        <f t="shared" si="13"/>
        <v>0.4078019669043867</v>
      </c>
      <c r="AJ14" s="4">
        <v>10.234019270112368</v>
      </c>
      <c r="AK14" s="32">
        <f t="shared" si="14"/>
        <v>0.19592415573773722</v>
      </c>
      <c r="AL14" s="34">
        <f t="shared" si="15"/>
        <v>-999</v>
      </c>
      <c r="AY14" s="103" t="s">
        <v>53</v>
      </c>
      <c r="AZ14" s="103" t="s">
        <v>450</v>
      </c>
      <c r="BA14" s="103" t="s">
        <v>507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351</v>
      </c>
      <c r="E15" s="38">
        <f>IF(LEFT(VLOOKUP($B15,'Indicator chart'!$D$1:$J$36,5,FALSE),1)=" "," ",VLOOKUP($B15,'Indicator chart'!$D$1:$J$36,5,FALSE))</f>
        <v>0.484807</v>
      </c>
      <c r="F15" s="38">
        <f>IF(LEFT(VLOOKUP($B15,'Indicator chart'!$D$1:$J$36,6,FALSE),1)=" "," ",VLOOKUP($B15,'Indicator chart'!$D$1:$J$36,6,FALSE))</f>
        <v>0.44857833874886827</v>
      </c>
      <c r="G15" s="38">
        <f>IF(LEFT(VLOOKUP($B15,'Indicator chart'!$D$1:$J$36,7,FALSE),1)=" "," ",VLOOKUP($B15,'Indicator chart'!$D$1:$J$36,7,FALSE))</f>
        <v>0.521195304307533</v>
      </c>
      <c r="H15" s="50">
        <f t="shared" si="0"/>
        <v>1</v>
      </c>
      <c r="I15" s="38">
        <v>0.31034499406814575</v>
      </c>
      <c r="J15" s="38">
        <v>0.5312644839286804</v>
      </c>
      <c r="K15" s="38">
        <v>0.5569919943809509</v>
      </c>
      <c r="L15" s="38">
        <v>0.5930169820785522</v>
      </c>
      <c r="M15" s="38">
        <v>0.6717849969863892</v>
      </c>
      <c r="N15" s="80">
        <f>VLOOKUP('Hide - Control'!B$3,'All practice data'!A:CA,A15+29,FALSE)</f>
        <v>0.5746660364685688</v>
      </c>
      <c r="O15" s="80">
        <f>VLOOKUP('Hide - Control'!C$3,'All practice data'!A:CA,A15+29,FALSE)</f>
        <v>0.5147293797466616</v>
      </c>
      <c r="P15" s="38">
        <f>VLOOKUP('Hide - Control'!$B$4,'All practice data'!B:BC,A15+2,FALSE)</f>
        <v>23101</v>
      </c>
      <c r="Q15" s="38">
        <f>VLOOKUP('Hide - Control'!$B$4,'All practice data'!B:BJ,60,FALSE)</f>
        <v>40199</v>
      </c>
      <c r="R15" s="38">
        <f t="shared" si="17"/>
        <v>0.5698260778720353</v>
      </c>
      <c r="S15" s="38">
        <f t="shared" si="18"/>
        <v>0.5794917255739778</v>
      </c>
      <c r="T15" s="53">
        <f t="shared" si="16"/>
        <v>0.6717849969863892</v>
      </c>
      <c r="U15" s="51">
        <f t="shared" si="1"/>
        <v>0.31034499406814575</v>
      </c>
      <c r="V15" s="7"/>
      <c r="W15" s="27">
        <f t="shared" si="2"/>
        <v>0.31034499406814575</v>
      </c>
      <c r="X15" s="27">
        <f t="shared" si="3"/>
        <v>0.8036389946937561</v>
      </c>
      <c r="Y15" s="27">
        <f t="shared" si="4"/>
        <v>0.31034499406814575</v>
      </c>
      <c r="Z15" s="27">
        <f t="shared" si="5"/>
        <v>0.8036389946937561</v>
      </c>
      <c r="AA15" s="32">
        <f t="shared" si="6"/>
        <v>0</v>
      </c>
      <c r="AB15" s="33">
        <f t="shared" si="7"/>
        <v>0.4478454827757035</v>
      </c>
      <c r="AC15" s="33">
        <v>0.5</v>
      </c>
      <c r="AD15" s="33">
        <f t="shared" si="8"/>
        <v>0.573029446236754</v>
      </c>
      <c r="AE15" s="33">
        <f t="shared" si="9"/>
        <v>0.7327070721716751</v>
      </c>
      <c r="AF15" s="33">
        <f t="shared" si="10"/>
        <v>-999</v>
      </c>
      <c r="AG15" s="33">
        <f t="shared" si="11"/>
        <v>-999</v>
      </c>
      <c r="AH15" s="33">
        <f t="shared" si="12"/>
        <v>0.3536673985708244</v>
      </c>
      <c r="AI15" s="34">
        <f t="shared" si="13"/>
        <v>0.4143257072239057</v>
      </c>
      <c r="AJ15" s="4">
        <v>11.310014695494289</v>
      </c>
      <c r="AK15" s="32">
        <f t="shared" si="14"/>
        <v>0.3536673985708244</v>
      </c>
      <c r="AL15" s="34">
        <f t="shared" si="15"/>
        <v>-999</v>
      </c>
      <c r="AY15" s="103" t="s">
        <v>229</v>
      </c>
      <c r="AZ15" s="103" t="s">
        <v>230</v>
      </c>
      <c r="BA15" s="103" t="s">
        <v>326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180</v>
      </c>
      <c r="E16" s="38">
        <f>IF(LEFT(VLOOKUP($B16,'Indicator chart'!$D$1:$J$36,5,FALSE),1)=" "," ",VLOOKUP($B16,'Indicator chart'!$D$1:$J$36,5,FALSE))</f>
        <v>0.571429</v>
      </c>
      <c r="F16" s="38">
        <f>IF(LEFT(VLOOKUP($B16,'Indicator chart'!$D$1:$J$36,6,FALSE),1)=" "," ",VLOOKUP($B16,'Indicator chart'!$D$1:$J$36,6,FALSE))</f>
        <v>0.516240963392767</v>
      </c>
      <c r="G16" s="38">
        <f>IF(LEFT(VLOOKUP($B16,'Indicator chart'!$D$1:$J$36,7,FALSE),1)=" "," ",VLOOKUP($B16,'Indicator chart'!$D$1:$J$36,7,FALSE))</f>
        <v>0.6248949486086782</v>
      </c>
      <c r="H16" s="50">
        <f t="shared" si="0"/>
        <v>2</v>
      </c>
      <c r="I16" s="38">
        <v>0.3719010055065155</v>
      </c>
      <c r="J16" s="38">
        <v>0.5667744874954224</v>
      </c>
      <c r="K16" s="38">
        <v>0.6013069748878479</v>
      </c>
      <c r="L16" s="38">
        <v>0.6375734806060791</v>
      </c>
      <c r="M16" s="38">
        <v>0.7286750078201294</v>
      </c>
      <c r="N16" s="80">
        <f>VLOOKUP('Hide - Control'!B$3,'All practice data'!A:CA,A16+29,FALSE)</f>
        <v>0.6243501390400193</v>
      </c>
      <c r="O16" s="80">
        <f>VLOOKUP('Hide - Control'!C$3,'All practice data'!A:CA,A16+29,FALSE)</f>
        <v>0.5752927626212945</v>
      </c>
      <c r="P16" s="38">
        <f>VLOOKUP('Hide - Control'!$B$4,'All practice data'!B:BC,A16+2,FALSE)</f>
        <v>10328</v>
      </c>
      <c r="Q16" s="38">
        <f>VLOOKUP('Hide - Control'!$B$4,'All practice data'!B:BJ,61,FALSE)</f>
        <v>16542</v>
      </c>
      <c r="R16" s="38">
        <f t="shared" si="17"/>
        <v>0.6169418737307034</v>
      </c>
      <c r="S16" s="38">
        <f t="shared" si="18"/>
        <v>0.6317006613217293</v>
      </c>
      <c r="T16" s="53">
        <f aca="true" t="shared" si="19" ref="T16:T31">IF($C16=1,M16,I16)</f>
        <v>0.7286750078201294</v>
      </c>
      <c r="U16" s="51">
        <f aca="true" t="shared" si="20" ref="U16:U31">IF($C16=1,I16,M16)</f>
        <v>0.3719010055065155</v>
      </c>
      <c r="V16" s="7"/>
      <c r="W16" s="27">
        <f t="shared" si="2"/>
        <v>0.3719010055065155</v>
      </c>
      <c r="X16" s="27">
        <f t="shared" si="3"/>
        <v>0.8307129442691803</v>
      </c>
      <c r="Y16" s="27">
        <f t="shared" si="4"/>
        <v>0.3719010055065155</v>
      </c>
      <c r="Z16" s="27">
        <f t="shared" si="5"/>
        <v>0.8307129442691803</v>
      </c>
      <c r="AA16" s="32">
        <f t="shared" si="6"/>
        <v>0</v>
      </c>
      <c r="AB16" s="33">
        <f t="shared" si="7"/>
        <v>0.4247349851323538</v>
      </c>
      <c r="AC16" s="33">
        <v>0.5</v>
      </c>
      <c r="AD16" s="33">
        <f t="shared" si="8"/>
        <v>0.579044381050841</v>
      </c>
      <c r="AE16" s="33">
        <f t="shared" si="9"/>
        <v>0.7776040075935484</v>
      </c>
      <c r="AF16" s="33">
        <f t="shared" si="10"/>
        <v>-999</v>
      </c>
      <c r="AG16" s="33">
        <f t="shared" si="11"/>
        <v>0.4348796917350852</v>
      </c>
      <c r="AH16" s="33">
        <f t="shared" si="12"/>
        <v>-999</v>
      </c>
      <c r="AI16" s="34">
        <f t="shared" si="13"/>
        <v>0.44330092556721784</v>
      </c>
      <c r="AJ16" s="4">
        <v>12.386010120876215</v>
      </c>
      <c r="AK16" s="32">
        <f t="shared" si="14"/>
        <v>-999</v>
      </c>
      <c r="AL16" s="34">
        <f t="shared" si="15"/>
        <v>-999</v>
      </c>
      <c r="AY16" s="103" t="s">
        <v>325</v>
      </c>
      <c r="AZ16" s="103" t="s">
        <v>345</v>
      </c>
      <c r="BA16" s="103" t="s">
        <v>507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128</v>
      </c>
      <c r="E17" s="38">
        <f>IF(LEFT(VLOOKUP($B17,'Indicator chart'!$D$1:$J$36,5,FALSE),1)=" "," ",VLOOKUP($B17,'Indicator chart'!$D$1:$J$36,5,FALSE))</f>
        <v>1377.084454007531</v>
      </c>
      <c r="F17" s="38">
        <f>IF(LEFT(VLOOKUP($B17,'Indicator chart'!$D$1:$J$36,6,FALSE),1)=" "," ",VLOOKUP($B17,'Indicator chart'!$D$1:$J$36,6,FALSE))</f>
        <v>1148.8471366712702</v>
      </c>
      <c r="G17" s="38">
        <f>IF(LEFT(VLOOKUP($B17,'Indicator chart'!$D$1:$J$36,7,FALSE),1)=" "," ",VLOOKUP($B17,'Indicator chart'!$D$1:$J$36,7,FALSE))</f>
        <v>1637.3741372357497</v>
      </c>
      <c r="H17" s="50">
        <f t="shared" si="0"/>
        <v>1</v>
      </c>
      <c r="I17" s="38">
        <v>448.807861328125</v>
      </c>
      <c r="J17" s="38">
        <v>1255.7081298828125</v>
      </c>
      <c r="K17" s="38">
        <v>1631.55859375</v>
      </c>
      <c r="L17" s="38">
        <v>1868.9732666015625</v>
      </c>
      <c r="M17" s="38">
        <v>3089.30419921875</v>
      </c>
      <c r="N17" s="80">
        <f>VLOOKUP('Hide - Control'!B$3,'All practice data'!A:CA,A17+29,FALSE)</f>
        <v>1696.191138567279</v>
      </c>
      <c r="O17" s="80">
        <f>VLOOKUP('Hide - Control'!C$3,'All practice data'!A:CA,A17+29,FALSE)</f>
        <v>1812.1669120472948</v>
      </c>
      <c r="P17" s="38">
        <f>VLOOKUP('Hide - Control'!$B$4,'All practice data'!B:BC,A17+2,FALSE)</f>
        <v>6219</v>
      </c>
      <c r="Q17" s="38">
        <f>VLOOKUP('Hide - Control'!$B$4,'All practice data'!B:BC,3,FALSE)</f>
        <v>366645</v>
      </c>
      <c r="R17" s="38">
        <f>100000*(P17*(1-1/(9*P17)-1.96/(3*SQRT(P17)))^3)/Q17</f>
        <v>1654.2929324545694</v>
      </c>
      <c r="S17" s="38">
        <f>100000*((P17+1)*(1-1/(9*(P17+1))+1.96/(3*SQRT(P17+1)))^3)/Q17</f>
        <v>1738.8821532011477</v>
      </c>
      <c r="T17" s="53">
        <f t="shared" si="19"/>
        <v>3089.30419921875</v>
      </c>
      <c r="U17" s="51">
        <f t="shared" si="20"/>
        <v>448.807861328125</v>
      </c>
      <c r="V17" s="7"/>
      <c r="W17" s="27">
        <f t="shared" si="2"/>
        <v>173.81298828125</v>
      </c>
      <c r="X17" s="27">
        <f t="shared" si="3"/>
        <v>3089.30419921875</v>
      </c>
      <c r="Y17" s="27">
        <f t="shared" si="4"/>
        <v>173.81298828125</v>
      </c>
      <c r="Z17" s="27">
        <f t="shared" si="5"/>
        <v>3089.30419921875</v>
      </c>
      <c r="AA17" s="32">
        <f t="shared" si="6"/>
        <v>0.09432196949015949</v>
      </c>
      <c r="AB17" s="33">
        <f t="shared" si="7"/>
        <v>0.37108502935725546</v>
      </c>
      <c r="AC17" s="33">
        <v>0.5</v>
      </c>
      <c r="AD17" s="33">
        <f t="shared" si="8"/>
        <v>0.5814321346471217</v>
      </c>
      <c r="AE17" s="33">
        <f t="shared" si="9"/>
        <v>1</v>
      </c>
      <c r="AF17" s="33">
        <f t="shared" si="10"/>
        <v>-999</v>
      </c>
      <c r="AG17" s="33">
        <f t="shared" si="11"/>
        <v>-999</v>
      </c>
      <c r="AH17" s="33">
        <f t="shared" si="12"/>
        <v>0.41271654711638084</v>
      </c>
      <c r="AI17" s="34">
        <f t="shared" si="13"/>
        <v>0.5619478177878707</v>
      </c>
      <c r="AJ17" s="4">
        <v>13.462005546258133</v>
      </c>
      <c r="AK17" s="32">
        <f t="shared" si="14"/>
        <v>0.41271654711638084</v>
      </c>
      <c r="AL17" s="34">
        <f t="shared" si="15"/>
        <v>-999</v>
      </c>
      <c r="AY17" s="103" t="s">
        <v>103</v>
      </c>
      <c r="AZ17" s="103" t="s">
        <v>104</v>
      </c>
      <c r="BA17" s="103" t="s">
        <v>326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128</v>
      </c>
      <c r="E18" s="80">
        <f>IF(LEFT(VLOOKUP($B18,'Indicator chart'!$D$1:$J$36,5,FALSE),1)=" "," ",VLOOKUP($B18,'Indicator chart'!$D$1:$J$36,5,FALSE))</f>
        <v>0.8741472626</v>
      </c>
      <c r="F18" s="81">
        <f>IF(LEFT(VLOOKUP($B18,'Indicator chart'!$D$1:$J$36,6,FALSE),1)=" "," ",VLOOKUP($B18,'Indicator chart'!$D$1:$J$36,6,FALSE))</f>
        <v>0.7292800903</v>
      </c>
      <c r="G18" s="38">
        <f>IF(LEFT(VLOOKUP($B18,'Indicator chart'!$D$1:$J$36,7,FALSE),1)=" "," ",VLOOKUP($B18,'Indicator chart'!$D$1:$J$36,7,FALSE))</f>
        <v>1.039363937</v>
      </c>
      <c r="H18" s="50">
        <f>IF(LEFT(F18,1)=" ",4,IF(AND(ABS(N18-E18)&gt;SQRT((E18-G18)^2+(N18-R18)^2),E18&lt;N18),1,IF(AND(ABS(N18-E18)&gt;SQRT((E18-F18)^2+(N18-S18)^2),E18&gt;N18),3,2)))</f>
        <v>2</v>
      </c>
      <c r="I18" s="38">
        <v>0.1840011179447174</v>
      </c>
      <c r="J18" s="38"/>
      <c r="K18" s="38">
        <v>1</v>
      </c>
      <c r="L18" s="38"/>
      <c r="M18" s="38">
        <v>1.472893238067627</v>
      </c>
      <c r="N18" s="80">
        <v>1</v>
      </c>
      <c r="O18" s="80">
        <f>VLOOKUP('Hide - Control'!C$3,'All practice data'!A:CA,A18+29,FALSE)</f>
        <v>1</v>
      </c>
      <c r="P18" s="38">
        <f>VLOOKUP('Hide - Control'!$B$4,'All practice data'!B:BC,A18+2,FALSE)</f>
        <v>6219</v>
      </c>
      <c r="Q18" s="38">
        <f>VLOOKUP('Hide - Control'!$B$4,'All practice data'!B:BC,14,FALSE)</f>
        <v>6219</v>
      </c>
      <c r="R18" s="81">
        <v>1</v>
      </c>
      <c r="S18" s="38">
        <v>1</v>
      </c>
      <c r="T18" s="53">
        <f t="shared" si="19"/>
        <v>1.472893238067627</v>
      </c>
      <c r="U18" s="51">
        <f t="shared" si="20"/>
        <v>0.1840011179447174</v>
      </c>
      <c r="V18" s="7"/>
      <c r="W18" s="27">
        <f>IF((K18-I18)&gt;(M18-K18),I18,(K18-(M18-K18)))</f>
        <v>0.1840011179447174</v>
      </c>
      <c r="X18" s="27">
        <f t="shared" si="3"/>
        <v>1.8159988820552826</v>
      </c>
      <c r="Y18" s="27">
        <f t="shared" si="4"/>
        <v>0.1840011179447174</v>
      </c>
      <c r="Z18" s="27">
        <f t="shared" si="5"/>
        <v>1.8159988820552826</v>
      </c>
      <c r="AA18" s="32" t="s">
        <v>326</v>
      </c>
      <c r="AB18" s="33" t="s">
        <v>326</v>
      </c>
      <c r="AC18" s="33">
        <v>0.5</v>
      </c>
      <c r="AD18" s="33" t="s">
        <v>326</v>
      </c>
      <c r="AE18" s="33" t="s">
        <v>326</v>
      </c>
      <c r="AF18" s="33">
        <f t="shared" si="10"/>
        <v>-999</v>
      </c>
      <c r="AG18" s="33">
        <f t="shared" si="11"/>
        <v>0.422884246432415</v>
      </c>
      <c r="AH18" s="33">
        <f t="shared" si="12"/>
        <v>-999</v>
      </c>
      <c r="AI18" s="34">
        <v>0.5</v>
      </c>
      <c r="AJ18" s="4">
        <v>14.538000971640056</v>
      </c>
      <c r="AK18" s="32">
        <f t="shared" si="14"/>
        <v>-999</v>
      </c>
      <c r="AL18" s="34">
        <f t="shared" si="15"/>
        <v>-999</v>
      </c>
      <c r="AY18" s="103" t="s">
        <v>105</v>
      </c>
      <c r="AZ18" s="103" t="s">
        <v>106</v>
      </c>
      <c r="BA18" s="103" t="s">
        <v>326</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17</v>
      </c>
      <c r="E19" s="38">
        <f>IF(LEFT(VLOOKUP($B19,'Indicator chart'!$D$1:$J$36,5,FALSE),1)=" "," ",VLOOKUP($B19,'Indicator chart'!$D$1:$J$36,5,FALSE))</f>
        <v>0.1328125</v>
      </c>
      <c r="F19" s="38">
        <f>IF(LEFT(VLOOKUP($B19,'Indicator chart'!$D$1:$J$36,6,FALSE),1)=" "," ",VLOOKUP($B19,'Indicator chart'!$D$1:$J$36,6,FALSE))</f>
        <v>0.08460158144609937</v>
      </c>
      <c r="G19" s="38">
        <f>IF(LEFT(VLOOKUP($B19,'Indicator chart'!$D$1:$J$36,7,FALSE),1)=" "," ",VLOOKUP($B19,'Indicator chart'!$D$1:$J$36,7,FALSE))</f>
        <v>0.2024216342915737</v>
      </c>
      <c r="H19" s="50">
        <f t="shared" si="0"/>
        <v>2</v>
      </c>
      <c r="I19" s="38">
        <v>0.02070442959666252</v>
      </c>
      <c r="J19" s="38">
        <v>0.10810811072587967</v>
      </c>
      <c r="K19" s="38">
        <v>0.12751677632331848</v>
      </c>
      <c r="L19" s="38">
        <v>0.174383744597435</v>
      </c>
      <c r="M19" s="38">
        <v>0.5384615659713745</v>
      </c>
      <c r="N19" s="80">
        <f>VLOOKUP('Hide - Control'!B$3,'All practice data'!A:CA,A19+29,FALSE)</f>
        <v>0.12686927158707187</v>
      </c>
      <c r="O19" s="80">
        <f>VLOOKUP('Hide - Control'!C$3,'All practice data'!A:CA,A19+29,FALSE)</f>
        <v>0.10919341638628717</v>
      </c>
      <c r="P19" s="38">
        <f>VLOOKUP('Hide - Control'!$B$4,'All practice data'!B:BC,A19+2,FALSE)</f>
        <v>789</v>
      </c>
      <c r="Q19" s="38">
        <f>VLOOKUP('Hide - Control'!$B$4,'All practice data'!B:BC,15,FALSE)</f>
        <v>6219</v>
      </c>
      <c r="R19" s="38">
        <f>+((2*P19+1.96^2-1.96*SQRT(1.96^2+4*P19*(1-P19/Q19)))/(2*(Q19+1.96^2)))</f>
        <v>0.11882690617611152</v>
      </c>
      <c r="S19" s="38">
        <f>+((2*P19+1.96^2+1.96*SQRT(1.96^2+4*P19*(1-P19/Q19)))/(2*(Q19+1.96^2)))</f>
        <v>0.13537233296248394</v>
      </c>
      <c r="T19" s="53">
        <f t="shared" si="19"/>
        <v>0.5384615659713745</v>
      </c>
      <c r="U19" s="51">
        <f t="shared" si="20"/>
        <v>0.02070442959666252</v>
      </c>
      <c r="V19" s="7"/>
      <c r="W19" s="27">
        <f t="shared" si="2"/>
        <v>-0.28342801332473755</v>
      </c>
      <c r="X19" s="27">
        <f t="shared" si="3"/>
        <v>0.5384615659713745</v>
      </c>
      <c r="Y19" s="27">
        <f t="shared" si="4"/>
        <v>-0.28342801332473755</v>
      </c>
      <c r="Z19" s="27">
        <f t="shared" si="5"/>
        <v>0.5384615659713745</v>
      </c>
      <c r="AA19" s="32">
        <f t="shared" si="6"/>
        <v>0.3700405146660542</v>
      </c>
      <c r="AB19" s="33">
        <f t="shared" si="7"/>
        <v>0.47638531247219257</v>
      </c>
      <c r="AC19" s="33">
        <v>0.5</v>
      </c>
      <c r="AD19" s="33">
        <f t="shared" si="8"/>
        <v>0.557023436547589</v>
      </c>
      <c r="AE19" s="33">
        <f t="shared" si="9"/>
        <v>1</v>
      </c>
      <c r="AF19" s="33">
        <f t="shared" si="10"/>
        <v>-999</v>
      </c>
      <c r="AG19" s="33">
        <f t="shared" si="11"/>
        <v>0.506443351771435</v>
      </c>
      <c r="AH19" s="33">
        <f t="shared" si="12"/>
        <v>-999</v>
      </c>
      <c r="AI19" s="34">
        <f t="shared" si="13"/>
        <v>0.4777058130451977</v>
      </c>
      <c r="AJ19" s="4">
        <v>15.61399639702198</v>
      </c>
      <c r="AK19" s="32">
        <f t="shared" si="14"/>
        <v>-999</v>
      </c>
      <c r="AL19" s="34">
        <f t="shared" si="15"/>
        <v>-999</v>
      </c>
      <c r="AY19" s="103" t="s">
        <v>270</v>
      </c>
      <c r="AZ19" s="103" t="s">
        <v>446</v>
      </c>
      <c r="BA19" s="103" t="s">
        <v>326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36</v>
      </c>
      <c r="E20" s="38">
        <f>IF(LEFT(VLOOKUP($B20,'Indicator chart'!$D$1:$J$36,5,FALSE),1)=" "," ",VLOOKUP($B20,'Indicator chart'!$D$1:$J$36,5,FALSE))</f>
        <v>0.4722222222222222</v>
      </c>
      <c r="F20" s="38">
        <f>IF(LEFT(VLOOKUP($B20,'Indicator chart'!$D$1:$J$36,6,FALSE),1)=" "," ",VLOOKUP($B20,'Indicator chart'!$D$1:$J$36,6,FALSE))</f>
        <v>0.31985792907209337</v>
      </c>
      <c r="G20" s="38">
        <f>IF(LEFT(VLOOKUP($B20,'Indicator chart'!$D$1:$J$36,7,FALSE),1)=" "," ",VLOOKUP($B20,'Indicator chart'!$D$1:$J$36,7,FALSE))</f>
        <v>0.6299432837306053</v>
      </c>
      <c r="H20" s="50">
        <f t="shared" si="0"/>
        <v>2</v>
      </c>
      <c r="I20" s="38">
        <v>0.09238772839307785</v>
      </c>
      <c r="J20" s="38">
        <v>0.3867521286010742</v>
      </c>
      <c r="K20" s="38">
        <v>0.4722222089767456</v>
      </c>
      <c r="L20" s="38">
        <v>0.5314505696296692</v>
      </c>
      <c r="M20" s="38">
        <v>0.75</v>
      </c>
      <c r="N20" s="80">
        <f>VLOOKUP('Hide - Control'!B$3,'All practice data'!A:CA,A20+29,FALSE)</f>
        <v>0.47760290556900725</v>
      </c>
      <c r="O20" s="80">
        <f>VLOOKUP('Hide - Control'!C$3,'All practice data'!A:CA,A20+29,FALSE)</f>
        <v>0.4534552930810221</v>
      </c>
      <c r="P20" s="38">
        <f>VLOOKUP('Hide - Control'!$B$4,'All practice data'!B:BC,A20+1,FALSE)</f>
        <v>789</v>
      </c>
      <c r="Q20" s="38">
        <f>VLOOKUP('Hide - Control'!$B$4,'All practice data'!B:BC,A20+2,FALSE)</f>
        <v>1652</v>
      </c>
      <c r="R20" s="38">
        <f>+((2*P20+1.96^2-1.96*SQRT(1.96^2+4*P20*(1-P20/Q20)))/(2*(Q20+1.96^2)))</f>
        <v>0.45359564732107344</v>
      </c>
      <c r="S20" s="38">
        <f>+((2*P20+1.96^2+1.96*SQRT(1.96^2+4*P20*(1-P20/Q20)))/(2*(Q20+1.96^2)))</f>
        <v>0.5017140876197567</v>
      </c>
      <c r="T20" s="53">
        <f t="shared" si="19"/>
        <v>0.75</v>
      </c>
      <c r="U20" s="51">
        <f t="shared" si="20"/>
        <v>0.09238772839307785</v>
      </c>
      <c r="V20" s="7"/>
      <c r="W20" s="27">
        <f t="shared" si="2"/>
        <v>0.09238772839307785</v>
      </c>
      <c r="X20" s="27">
        <f t="shared" si="3"/>
        <v>0.8520566895604134</v>
      </c>
      <c r="Y20" s="27">
        <f t="shared" si="4"/>
        <v>0.09238772839307785</v>
      </c>
      <c r="Z20" s="27">
        <f t="shared" si="5"/>
        <v>0.8520566895604134</v>
      </c>
      <c r="AA20" s="32">
        <f t="shared" si="6"/>
        <v>0</v>
      </c>
      <c r="AB20" s="33">
        <f t="shared" si="7"/>
        <v>0.38749036126955233</v>
      </c>
      <c r="AC20" s="33">
        <v>0.5</v>
      </c>
      <c r="AD20" s="33">
        <f t="shared" si="8"/>
        <v>0.5779660137251246</v>
      </c>
      <c r="AE20" s="33">
        <f t="shared" si="9"/>
        <v>0.865656365104625</v>
      </c>
      <c r="AF20" s="33">
        <f t="shared" si="10"/>
        <v>-999</v>
      </c>
      <c r="AG20" s="33">
        <f t="shared" si="11"/>
        <v>0.5000000174358533</v>
      </c>
      <c r="AH20" s="33">
        <f t="shared" si="12"/>
        <v>-999</v>
      </c>
      <c r="AI20" s="34">
        <f t="shared" si="13"/>
        <v>0.47529592907562584</v>
      </c>
      <c r="AJ20" s="4">
        <v>16.689991822403904</v>
      </c>
      <c r="AK20" s="32">
        <f t="shared" si="14"/>
        <v>-999</v>
      </c>
      <c r="AL20" s="34">
        <f t="shared" si="15"/>
        <v>-999</v>
      </c>
      <c r="AY20" s="103" t="s">
        <v>211</v>
      </c>
      <c r="AZ20" s="103" t="s">
        <v>427</v>
      </c>
      <c r="BA20" s="103" t="s">
        <v>326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42</v>
      </c>
      <c r="E21" s="38">
        <f>IF(LEFT(VLOOKUP($B21,'Indicator chart'!$D$1:$J$36,5,FALSE),1)=" "," ",VLOOKUP($B21,'Indicator chart'!$D$1:$J$36,5,FALSE))</f>
        <v>451.8558364712211</v>
      </c>
      <c r="F21" s="38">
        <f>IF(LEFT(VLOOKUP($B21,'Indicator chart'!$D$1:$J$36,6,FALSE),1)=" "," ",VLOOKUP($B21,'Indicator chart'!$D$1:$J$36,6,FALSE))</f>
        <v>325.6216199845028</v>
      </c>
      <c r="G21" s="38">
        <f>IF(LEFT(VLOOKUP($B21,'Indicator chart'!$D$1:$J$36,7,FALSE),1)=" "," ",VLOOKUP($B21,'Indicator chart'!$D$1:$J$36,7,FALSE))</f>
        <v>610.796374105944</v>
      </c>
      <c r="H21" s="50">
        <f t="shared" si="0"/>
        <v>2</v>
      </c>
      <c r="I21" s="38">
        <v>61.46357345581055</v>
      </c>
      <c r="J21" s="38">
        <v>270.74896240234375</v>
      </c>
      <c r="K21" s="38">
        <v>411.142822265625</v>
      </c>
      <c r="L21" s="38">
        <v>475.7878112792969</v>
      </c>
      <c r="M21" s="38">
        <v>778.8162231445312</v>
      </c>
      <c r="N21" s="80">
        <f>VLOOKUP('Hide - Control'!B$3,'All practice data'!A:CA,A21+29,FALSE)</f>
        <v>406.3876501793288</v>
      </c>
      <c r="O21" s="80">
        <f>VLOOKUP('Hide - Control'!C$3,'All practice data'!A:CA,A21+29,FALSE)</f>
        <v>377.7293140102421</v>
      </c>
      <c r="P21" s="38">
        <f>VLOOKUP('Hide - Control'!$B$4,'All practice data'!B:BC,A21+2,FALSE)</f>
        <v>1490</v>
      </c>
      <c r="Q21" s="38">
        <f>VLOOKUP('Hide - Control'!$B$4,'All practice data'!B:BC,3,FALSE)</f>
        <v>366645</v>
      </c>
      <c r="R21" s="38">
        <f aca="true" t="shared" si="21" ref="R21:R27">100000*(P21*(1-1/(9*P21)-1.96/(3*SQRT(P21)))^3)/Q21</f>
        <v>386.0121295859055</v>
      </c>
      <c r="S21" s="38">
        <f aca="true" t="shared" si="22" ref="S21:S27">100000*((P21+1)*(1-1/(9*(P21+1))+1.96/(3*SQRT(P21+1)))^3)/Q21</f>
        <v>427.5594844116504</v>
      </c>
      <c r="T21" s="53">
        <f t="shared" si="19"/>
        <v>778.8162231445312</v>
      </c>
      <c r="U21" s="51">
        <f t="shared" si="20"/>
        <v>61.46357345581055</v>
      </c>
      <c r="V21" s="7"/>
      <c r="W21" s="27">
        <f t="shared" si="2"/>
        <v>43.46942138671875</v>
      </c>
      <c r="X21" s="27">
        <f t="shared" si="3"/>
        <v>778.8162231445312</v>
      </c>
      <c r="Y21" s="27">
        <f t="shared" si="4"/>
        <v>43.46942138671875</v>
      </c>
      <c r="Z21" s="27">
        <f t="shared" si="5"/>
        <v>778.8162231445312</v>
      </c>
      <c r="AA21" s="32">
        <f t="shared" si="6"/>
        <v>0.024470293507876297</v>
      </c>
      <c r="AB21" s="33">
        <f t="shared" si="7"/>
        <v>0.30907803021965113</v>
      </c>
      <c r="AC21" s="33">
        <v>0.5</v>
      </c>
      <c r="AD21" s="33">
        <f t="shared" si="8"/>
        <v>0.5879108862092567</v>
      </c>
      <c r="AE21" s="33">
        <f t="shared" si="9"/>
        <v>1</v>
      </c>
      <c r="AF21" s="33">
        <f t="shared" si="10"/>
        <v>-999</v>
      </c>
      <c r="AG21" s="33">
        <f t="shared" si="11"/>
        <v>0.555365732343261</v>
      </c>
      <c r="AH21" s="33">
        <f t="shared" si="12"/>
        <v>-999</v>
      </c>
      <c r="AI21" s="34">
        <f t="shared" si="13"/>
        <v>0.45456088450305426</v>
      </c>
      <c r="AJ21" s="4">
        <v>17.765987247785823</v>
      </c>
      <c r="AK21" s="32">
        <f t="shared" si="14"/>
        <v>-999</v>
      </c>
      <c r="AL21" s="34">
        <f t="shared" si="15"/>
        <v>-999</v>
      </c>
      <c r="AY21" s="103" t="s">
        <v>123</v>
      </c>
      <c r="AZ21" s="103" t="s">
        <v>401</v>
      </c>
      <c r="BA21" s="103" t="s">
        <v>326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13</v>
      </c>
      <c r="E22" s="38">
        <f>IF(LEFT(VLOOKUP($B22,'Indicator chart'!$D$1:$J$36,5,FALSE),1)=" "," ",VLOOKUP($B22,'Indicator chart'!$D$1:$J$36,5,FALSE))</f>
        <v>139.86013986013987</v>
      </c>
      <c r="F22" s="38">
        <f>IF(LEFT(VLOOKUP($B22,'Indicator chart'!$D$1:$J$36,6,FALSE),1)=" "," ",VLOOKUP($B22,'Indicator chart'!$D$1:$J$36,6,FALSE))</f>
        <v>74.39651095497071</v>
      </c>
      <c r="G22" s="38">
        <f>IF(LEFT(VLOOKUP($B22,'Indicator chart'!$D$1:$J$36,7,FALSE),1)=" "," ",VLOOKUP($B22,'Indicator chart'!$D$1:$J$36,7,FALSE))</f>
        <v>239.18139248254306</v>
      </c>
      <c r="H22" s="50">
        <f t="shared" si="0"/>
        <v>1</v>
      </c>
      <c r="I22" s="38">
        <v>18.07059669494629</v>
      </c>
      <c r="J22" s="38">
        <v>139.41311645507812</v>
      </c>
      <c r="K22" s="38">
        <v>239.6884002685547</v>
      </c>
      <c r="L22" s="38">
        <v>317.9722595214844</v>
      </c>
      <c r="M22" s="38">
        <v>567.0103149414062</v>
      </c>
      <c r="N22" s="80">
        <f>VLOOKUP('Hide - Control'!B$3,'All practice data'!A:CA,A22+29,FALSE)</f>
        <v>247.10551078018247</v>
      </c>
      <c r="O22" s="80">
        <f>VLOOKUP('Hide - Control'!C$3,'All practice data'!A:CA,A22+29,FALSE)</f>
        <v>282.45290788403287</v>
      </c>
      <c r="P22" s="38">
        <f>VLOOKUP('Hide - Control'!$B$4,'All practice data'!B:BC,A22+2,FALSE)</f>
        <v>906</v>
      </c>
      <c r="Q22" s="38">
        <f>VLOOKUP('Hide - Control'!$B$4,'All practice data'!B:BC,3,FALSE)</f>
        <v>366645</v>
      </c>
      <c r="R22" s="38">
        <f t="shared" si="21"/>
        <v>231.2745609518118</v>
      </c>
      <c r="S22" s="38">
        <f t="shared" si="22"/>
        <v>263.73470414277966</v>
      </c>
      <c r="T22" s="53">
        <f t="shared" si="19"/>
        <v>567.0103149414062</v>
      </c>
      <c r="U22" s="51">
        <f t="shared" si="20"/>
        <v>18.07059669494629</v>
      </c>
      <c r="V22" s="7"/>
      <c r="W22" s="27">
        <f t="shared" si="2"/>
        <v>-87.63351440429688</v>
      </c>
      <c r="X22" s="27">
        <f t="shared" si="3"/>
        <v>567.0103149414062</v>
      </c>
      <c r="Y22" s="27">
        <f t="shared" si="4"/>
        <v>-87.63351440429688</v>
      </c>
      <c r="Z22" s="27">
        <f t="shared" si="5"/>
        <v>567.0103149414062</v>
      </c>
      <c r="AA22" s="32">
        <f t="shared" si="6"/>
        <v>0.16146812413231063</v>
      </c>
      <c r="AB22" s="33">
        <f t="shared" si="7"/>
        <v>0.3468246711899833</v>
      </c>
      <c r="AC22" s="33">
        <v>0.5</v>
      </c>
      <c r="AD22" s="33">
        <f t="shared" si="8"/>
        <v>0.6195823679132088</v>
      </c>
      <c r="AE22" s="33">
        <f t="shared" si="9"/>
        <v>1</v>
      </c>
      <c r="AF22" s="33">
        <f t="shared" si="10"/>
        <v>-999</v>
      </c>
      <c r="AG22" s="33">
        <f t="shared" si="11"/>
        <v>-999</v>
      </c>
      <c r="AH22" s="33">
        <f t="shared" si="12"/>
        <v>0.3475075209855867</v>
      </c>
      <c r="AI22" s="34">
        <f t="shared" si="13"/>
        <v>0.5653248464256052</v>
      </c>
      <c r="AJ22" s="4">
        <v>18.841982673167745</v>
      </c>
      <c r="AK22" s="32">
        <f t="shared" si="14"/>
        <v>0.3475075209855867</v>
      </c>
      <c r="AL22" s="34">
        <f t="shared" si="15"/>
        <v>-999</v>
      </c>
      <c r="AY22" s="103" t="s">
        <v>149</v>
      </c>
      <c r="AZ22" s="103" t="s">
        <v>411</v>
      </c>
      <c r="BA22" s="103" t="s">
        <v>326</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38.1474494934082</v>
      </c>
      <c r="K23" s="38">
        <v>50.344017028808594</v>
      </c>
      <c r="L23" s="38">
        <v>71.7327880859375</v>
      </c>
      <c r="M23" s="38">
        <v>130.14671325683594</v>
      </c>
      <c r="N23" s="80">
        <f>VLOOKUP('Hide - Control'!B$3,'All practice data'!A:CA,A23+29,FALSE)</f>
        <v>58.63982871715147</v>
      </c>
      <c r="O23" s="80">
        <f>VLOOKUP('Hide - Control'!C$3,'All practice data'!A:CA,A23+29,FALSE)</f>
        <v>70.46674929228394</v>
      </c>
      <c r="P23" s="38">
        <f>VLOOKUP('Hide - Control'!$B$4,'All practice data'!B:BC,A23+2,FALSE)</f>
        <v>215</v>
      </c>
      <c r="Q23" s="38">
        <f>VLOOKUP('Hide - Control'!$B$4,'All practice data'!B:BC,3,FALSE)</f>
        <v>366645</v>
      </c>
      <c r="R23" s="38">
        <f t="shared" si="21"/>
        <v>51.06251198581238</v>
      </c>
      <c r="S23" s="38">
        <f t="shared" si="22"/>
        <v>67.02452201435464</v>
      </c>
      <c r="T23" s="53">
        <f t="shared" si="19"/>
        <v>130.14671325683594</v>
      </c>
      <c r="U23" s="51">
        <f t="shared" si="20"/>
        <v>3.248678207397461</v>
      </c>
      <c r="V23" s="7"/>
      <c r="W23" s="27">
        <f t="shared" si="2"/>
        <v>-29.45867919921875</v>
      </c>
      <c r="X23" s="27">
        <f t="shared" si="3"/>
        <v>130.14671325683594</v>
      </c>
      <c r="Y23" s="27">
        <f t="shared" si="4"/>
        <v>-29.45867919921875</v>
      </c>
      <c r="Z23" s="27">
        <f t="shared" si="5"/>
        <v>130.14671325683594</v>
      </c>
      <c r="AA23" s="32">
        <f t="shared" si="6"/>
        <v>0.204926393170718</v>
      </c>
      <c r="AB23" s="33">
        <f t="shared" si="7"/>
        <v>0.42358298583953824</v>
      </c>
      <c r="AC23" s="33">
        <v>0.5</v>
      </c>
      <c r="AD23" s="33">
        <f t="shared" si="8"/>
        <v>0.6340103283980084</v>
      </c>
      <c r="AE23" s="33">
        <f t="shared" si="9"/>
        <v>1</v>
      </c>
      <c r="AF23" s="33">
        <f t="shared" si="10"/>
        <v>-999</v>
      </c>
      <c r="AG23" s="33">
        <f t="shared" si="11"/>
        <v>-999</v>
      </c>
      <c r="AH23" s="33">
        <f t="shared" si="12"/>
        <v>-999</v>
      </c>
      <c r="AI23" s="34">
        <f t="shared" si="13"/>
        <v>0.6260780225142824</v>
      </c>
      <c r="AJ23" s="4">
        <v>19.917978098549675</v>
      </c>
      <c r="AK23" s="32">
        <f t="shared" si="14"/>
        <v>-999</v>
      </c>
      <c r="AL23" s="34">
        <f t="shared" si="15"/>
        <v>-999</v>
      </c>
      <c r="AY23" s="103" t="s">
        <v>264</v>
      </c>
      <c r="AZ23" s="103" t="s">
        <v>265</v>
      </c>
      <c r="BA23" s="103" t="s">
        <v>326</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13</v>
      </c>
      <c r="E24" s="38">
        <f>IF(LEFT(VLOOKUP($B24,'Indicator chart'!$D$1:$J$36,5,FALSE),1)=" "," ",VLOOKUP($B24,'Indicator chart'!$D$1:$J$36,5,FALSE))</f>
        <v>139.86013986013987</v>
      </c>
      <c r="F24" s="38">
        <f>IF(LEFT(VLOOKUP($B24,'Indicator chart'!$D$1:$J$36,6,FALSE),1)=" "," ",VLOOKUP($B24,'Indicator chart'!$D$1:$J$36,6,FALSE))</f>
        <v>74.39651095497071</v>
      </c>
      <c r="G24" s="38">
        <f>IF(LEFT(VLOOKUP($B24,'Indicator chart'!$D$1:$J$36,7,FALSE),1)=" "," ",VLOOKUP($B24,'Indicator chart'!$D$1:$J$36,7,FALSE))</f>
        <v>239.18139248254306</v>
      </c>
      <c r="H24" s="50">
        <f t="shared" si="0"/>
        <v>1</v>
      </c>
      <c r="I24" s="38">
        <v>27.3076171875</v>
      </c>
      <c r="J24" s="38">
        <v>170.50477600097656</v>
      </c>
      <c r="K24" s="38">
        <v>251.39984130859375</v>
      </c>
      <c r="L24" s="38">
        <v>311.6264343261719</v>
      </c>
      <c r="M24" s="38">
        <v>972.0272216796875</v>
      </c>
      <c r="N24" s="80">
        <f>VLOOKUP('Hide - Control'!B$3,'All practice data'!A:CA,A24+29,FALSE)</f>
        <v>287.7442757981153</v>
      </c>
      <c r="O24" s="80">
        <f>VLOOKUP('Hide - Control'!C$3,'All practice data'!A:CA,A24+29,FALSE)</f>
        <v>323.23046266988894</v>
      </c>
      <c r="P24" s="38">
        <f>VLOOKUP('Hide - Control'!$B$4,'All practice data'!B:BC,A24+2,FALSE)</f>
        <v>1055</v>
      </c>
      <c r="Q24" s="38">
        <f>VLOOKUP('Hide - Control'!$B$4,'All practice data'!B:BC,3,FALSE)</f>
        <v>366645</v>
      </c>
      <c r="R24" s="38">
        <f t="shared" si="21"/>
        <v>270.64043608873465</v>
      </c>
      <c r="S24" s="38">
        <f t="shared" si="22"/>
        <v>305.6457173889515</v>
      </c>
      <c r="T24" s="53">
        <f t="shared" si="19"/>
        <v>972.0272216796875</v>
      </c>
      <c r="U24" s="51">
        <f t="shared" si="20"/>
        <v>27.3076171875</v>
      </c>
      <c r="V24" s="7"/>
      <c r="W24" s="27">
        <f t="shared" si="2"/>
        <v>-469.2275390625</v>
      </c>
      <c r="X24" s="27">
        <f t="shared" si="3"/>
        <v>972.0272216796875</v>
      </c>
      <c r="Y24" s="27">
        <f t="shared" si="4"/>
        <v>-469.2275390625</v>
      </c>
      <c r="Z24" s="27">
        <f t="shared" si="5"/>
        <v>972.0272216796875</v>
      </c>
      <c r="AA24" s="32">
        <f t="shared" si="6"/>
        <v>0.3445158828091604</v>
      </c>
      <c r="AB24" s="33">
        <f t="shared" si="7"/>
        <v>0.4438717792918446</v>
      </c>
      <c r="AC24" s="33">
        <v>0.5</v>
      </c>
      <c r="AD24" s="33">
        <f t="shared" si="8"/>
        <v>0.5417876108083514</v>
      </c>
      <c r="AE24" s="33">
        <f t="shared" si="9"/>
        <v>1</v>
      </c>
      <c r="AF24" s="33">
        <f t="shared" si="10"/>
        <v>-999</v>
      </c>
      <c r="AG24" s="33">
        <f t="shared" si="11"/>
        <v>-999</v>
      </c>
      <c r="AH24" s="33">
        <f t="shared" si="12"/>
        <v>0.4226093092722792</v>
      </c>
      <c r="AI24" s="34">
        <f t="shared" si="13"/>
        <v>0.5498389481983778</v>
      </c>
      <c r="AJ24" s="4">
        <v>20.99397352393159</v>
      </c>
      <c r="AK24" s="32">
        <f t="shared" si="14"/>
        <v>0.4226093092722792</v>
      </c>
      <c r="AL24" s="34">
        <f t="shared" si="15"/>
        <v>-999</v>
      </c>
      <c r="AY24" s="103" t="s">
        <v>65</v>
      </c>
      <c r="AZ24" s="103" t="s">
        <v>66</v>
      </c>
      <c r="BA24" s="103" t="s">
        <v>507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36</v>
      </c>
      <c r="E25" s="38">
        <f>IF(LEFT(VLOOKUP($B25,'Indicator chart'!$D$1:$J$36,5,FALSE),1)=" "," ",VLOOKUP($B25,'Indicator chart'!$D$1:$J$36,5,FALSE))</f>
        <v>387.30500268961805</v>
      </c>
      <c r="F25" s="38">
        <f>IF(LEFT(VLOOKUP($B25,'Indicator chart'!$D$1:$J$36,6,FALSE),1)=" "," ",VLOOKUP($B25,'Indicator chart'!$D$1:$J$36,6,FALSE))</f>
        <v>271.2240713767582</v>
      </c>
      <c r="G25" s="38">
        <f>IF(LEFT(VLOOKUP($B25,'Indicator chart'!$D$1:$J$36,7,FALSE),1)=" "," ",VLOOKUP($B25,'Indicator chart'!$D$1:$J$36,7,FALSE))</f>
        <v>536.2121351395238</v>
      </c>
      <c r="H25" s="50">
        <f t="shared" si="0"/>
        <v>1</v>
      </c>
      <c r="I25" s="38">
        <v>233.281494140625</v>
      </c>
      <c r="J25" s="38">
        <v>503.07098388671875</v>
      </c>
      <c r="K25" s="38">
        <v>577.6107177734375</v>
      </c>
      <c r="L25" s="38">
        <v>679.9122314453125</v>
      </c>
      <c r="M25" s="38">
        <v>1065.2921142578125</v>
      </c>
      <c r="N25" s="80">
        <f>VLOOKUP('Hide - Control'!B$3,'All practice data'!A:CA,A25+29,FALSE)</f>
        <v>589.6712078440999</v>
      </c>
      <c r="O25" s="80">
        <f>VLOOKUP('Hide - Control'!C$3,'All practice data'!A:CA,A25+29,FALSE)</f>
        <v>562.6134400960308</v>
      </c>
      <c r="P25" s="38">
        <f>VLOOKUP('Hide - Control'!$B$4,'All practice data'!B:BC,A25+2,FALSE)</f>
        <v>2162</v>
      </c>
      <c r="Q25" s="38">
        <f>VLOOKUP('Hide - Control'!$B$4,'All practice data'!B:BC,3,FALSE)</f>
        <v>366645</v>
      </c>
      <c r="R25" s="38">
        <f t="shared" si="21"/>
        <v>565.0740606824896</v>
      </c>
      <c r="S25" s="38">
        <f t="shared" si="22"/>
        <v>615.0635049445007</v>
      </c>
      <c r="T25" s="53">
        <f t="shared" si="19"/>
        <v>1065.2921142578125</v>
      </c>
      <c r="U25" s="51">
        <f t="shared" si="20"/>
        <v>233.281494140625</v>
      </c>
      <c r="V25" s="7"/>
      <c r="W25" s="27">
        <f t="shared" si="2"/>
        <v>89.9293212890625</v>
      </c>
      <c r="X25" s="27">
        <f t="shared" si="3"/>
        <v>1065.2921142578125</v>
      </c>
      <c r="Y25" s="27">
        <f t="shared" si="4"/>
        <v>89.9293212890625</v>
      </c>
      <c r="Z25" s="27">
        <f t="shared" si="5"/>
        <v>1065.2921142578125</v>
      </c>
      <c r="AA25" s="32">
        <f t="shared" si="6"/>
        <v>0.14697318155353853</v>
      </c>
      <c r="AB25" s="33">
        <f t="shared" si="7"/>
        <v>0.4235774273695235</v>
      </c>
      <c r="AC25" s="33">
        <v>0.5</v>
      </c>
      <c r="AD25" s="33">
        <f t="shared" si="8"/>
        <v>0.6048856019620104</v>
      </c>
      <c r="AE25" s="33">
        <f t="shared" si="9"/>
        <v>1</v>
      </c>
      <c r="AF25" s="33">
        <f t="shared" si="10"/>
        <v>-999</v>
      </c>
      <c r="AG25" s="33">
        <f t="shared" si="11"/>
        <v>-999</v>
      </c>
      <c r="AH25" s="33">
        <f t="shared" si="12"/>
        <v>0.3048872517429351</v>
      </c>
      <c r="AI25" s="34">
        <f t="shared" si="13"/>
        <v>0.4846238981171725</v>
      </c>
      <c r="AJ25" s="4">
        <v>22.06996894931352</v>
      </c>
      <c r="AK25" s="32">
        <f t="shared" si="14"/>
        <v>0.3048872517429351</v>
      </c>
      <c r="AL25" s="34">
        <f t="shared" si="15"/>
        <v>-999</v>
      </c>
      <c r="AY25" s="103" t="s">
        <v>257</v>
      </c>
      <c r="AZ25" s="103" t="s">
        <v>258</v>
      </c>
      <c r="BA25" s="103" t="s">
        <v>507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37</v>
      </c>
      <c r="E26" s="38">
        <f>IF(LEFT(VLOOKUP($B26,'Indicator chart'!$D$1:$J$36,5,FALSE),1)=" "," ",VLOOKUP($B26,'Indicator chart'!$D$1:$J$36,5,FALSE))</f>
        <v>398.0634749865519</v>
      </c>
      <c r="F26" s="38">
        <f>IF(LEFT(VLOOKUP($B26,'Indicator chart'!$D$1:$J$36,6,FALSE),1)=" "," ",VLOOKUP($B26,'Indicator chart'!$D$1:$J$36,6,FALSE))</f>
        <v>280.2344394393368</v>
      </c>
      <c r="G26" s="38">
        <f>IF(LEFT(VLOOKUP($B26,'Indicator chart'!$D$1:$J$36,7,FALSE),1)=" "," ",VLOOKUP($B26,'Indicator chart'!$D$1:$J$36,7,FALSE))</f>
        <v>548.6967910380959</v>
      </c>
      <c r="H26" s="50">
        <f t="shared" si="0"/>
        <v>2</v>
      </c>
      <c r="I26" s="38">
        <v>282.3719177246094</v>
      </c>
      <c r="J26" s="38">
        <v>468.7571716308594</v>
      </c>
      <c r="K26" s="38">
        <v>539.5451049804688</v>
      </c>
      <c r="L26" s="38">
        <v>635.9283447265625</v>
      </c>
      <c r="M26" s="38">
        <v>1074.21875</v>
      </c>
      <c r="N26" s="80">
        <f>VLOOKUP('Hide - Control'!B$3,'All practice data'!A:CA,A26+29,FALSE)</f>
        <v>543.577575038525</v>
      </c>
      <c r="O26" s="80">
        <f>VLOOKUP('Hide - Control'!C$3,'All practice data'!A:CA,A26+29,FALSE)</f>
        <v>405.57105879375996</v>
      </c>
      <c r="P26" s="38">
        <f>VLOOKUP('Hide - Control'!$B$4,'All practice data'!B:BC,A26+2,FALSE)</f>
        <v>1993</v>
      </c>
      <c r="Q26" s="38">
        <f>VLOOKUP('Hide - Control'!$B$4,'All practice data'!B:BC,3,FALSE)</f>
        <v>366645</v>
      </c>
      <c r="R26" s="38">
        <f t="shared" si="21"/>
        <v>519.9717221361519</v>
      </c>
      <c r="S26" s="38">
        <f t="shared" si="22"/>
        <v>567.9788143376685</v>
      </c>
      <c r="T26" s="53">
        <f t="shared" si="19"/>
        <v>1074.21875</v>
      </c>
      <c r="U26" s="51">
        <f t="shared" si="20"/>
        <v>282.3719177246094</v>
      </c>
      <c r="V26" s="7"/>
      <c r="W26" s="27">
        <f t="shared" si="2"/>
        <v>4.8714599609375</v>
      </c>
      <c r="X26" s="27">
        <f t="shared" si="3"/>
        <v>1074.21875</v>
      </c>
      <c r="Y26" s="27">
        <f t="shared" si="4"/>
        <v>4.8714599609375</v>
      </c>
      <c r="Z26" s="27">
        <f t="shared" si="5"/>
        <v>1074.21875</v>
      </c>
      <c r="AA26" s="32">
        <f t="shared" si="6"/>
        <v>0.25950452238349525</v>
      </c>
      <c r="AB26" s="33">
        <f t="shared" si="7"/>
        <v>0.4338026719579347</v>
      </c>
      <c r="AC26" s="33">
        <v>0.5</v>
      </c>
      <c r="AD26" s="33">
        <f t="shared" si="8"/>
        <v>0.5901327759876522</v>
      </c>
      <c r="AE26" s="33">
        <f t="shared" si="9"/>
        <v>1</v>
      </c>
      <c r="AF26" s="33">
        <f t="shared" si="10"/>
        <v>-999</v>
      </c>
      <c r="AG26" s="33">
        <f t="shared" si="11"/>
        <v>0.367693469360409</v>
      </c>
      <c r="AH26" s="33">
        <f t="shared" si="12"/>
        <v>-999</v>
      </c>
      <c r="AI26" s="34">
        <f t="shared" si="13"/>
        <v>0.37471418552730906</v>
      </c>
      <c r="AJ26" s="4">
        <v>23.145964374695435</v>
      </c>
      <c r="AK26" s="32">
        <f t="shared" si="14"/>
        <v>-999</v>
      </c>
      <c r="AL26" s="34">
        <f t="shared" si="15"/>
        <v>-999</v>
      </c>
      <c r="AY26" s="103" t="s">
        <v>120</v>
      </c>
      <c r="AZ26" s="103" t="s">
        <v>400</v>
      </c>
      <c r="BA26" s="103" t="s">
        <v>326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108</v>
      </c>
      <c r="E27" s="38">
        <f>IF(LEFT(VLOOKUP($B27,'Indicator chart'!$D$1:$J$36,5,FALSE),1)=" "," ",VLOOKUP($B27,'Indicator chart'!$D$1:$J$36,5,FALSE))</f>
        <v>1161.9150080688541</v>
      </c>
      <c r="F27" s="38">
        <f>IF(LEFT(VLOOKUP($B27,'Indicator chart'!$D$1:$J$36,6,FALSE),1)=" "," ",VLOOKUP($B27,'Indicator chart'!$D$1:$J$36,6,FALSE))</f>
        <v>953.118485757124</v>
      </c>
      <c r="G27" s="38">
        <f>IF(LEFT(VLOOKUP($B27,'Indicator chart'!$D$1:$J$36,7,FALSE),1)=" "," ",VLOOKUP($B27,'Indicator chart'!$D$1:$J$36,7,FALSE))</f>
        <v>1402.8429130586328</v>
      </c>
      <c r="H27" s="50">
        <f t="shared" si="0"/>
        <v>2</v>
      </c>
      <c r="I27" s="38">
        <v>986.5684204101562</v>
      </c>
      <c r="J27" s="38">
        <v>1141.82470703125</v>
      </c>
      <c r="K27" s="38">
        <v>1371.2047119140625</v>
      </c>
      <c r="L27" s="38">
        <v>1620.837158203125</v>
      </c>
      <c r="M27" s="38">
        <v>2341.772216796875</v>
      </c>
      <c r="N27" s="80">
        <f>VLOOKUP('Hide - Control'!B$3,'All practice data'!A:CA,A27+29,FALSE)</f>
        <v>1338.897298476728</v>
      </c>
      <c r="O27" s="80">
        <f>VLOOKUP('Hide - Control'!C$3,'All practice data'!A:CA,A27+29,FALSE)</f>
        <v>1059.3522061277838</v>
      </c>
      <c r="P27" s="38">
        <f>VLOOKUP('Hide - Control'!$B$4,'All practice data'!B:BC,A27+2,FALSE)</f>
        <v>4909</v>
      </c>
      <c r="Q27" s="38">
        <f>VLOOKUP('Hide - Control'!$B$4,'All practice data'!B:BC,3,FALSE)</f>
        <v>366645</v>
      </c>
      <c r="R27" s="38">
        <f t="shared" si="21"/>
        <v>1301.701502156726</v>
      </c>
      <c r="S27" s="38">
        <f t="shared" si="22"/>
        <v>1376.886326342804</v>
      </c>
      <c r="T27" s="53">
        <f t="shared" si="19"/>
        <v>2341.772216796875</v>
      </c>
      <c r="U27" s="51">
        <f t="shared" si="20"/>
        <v>986.5684204101562</v>
      </c>
      <c r="V27" s="7"/>
      <c r="W27" s="27">
        <f t="shared" si="2"/>
        <v>400.63720703125</v>
      </c>
      <c r="X27" s="27">
        <f t="shared" si="3"/>
        <v>2341.772216796875</v>
      </c>
      <c r="Y27" s="27">
        <f t="shared" si="4"/>
        <v>400.63720703125</v>
      </c>
      <c r="Z27" s="27">
        <f t="shared" si="5"/>
        <v>2341.772216796875</v>
      </c>
      <c r="AA27" s="32">
        <f t="shared" si="6"/>
        <v>0.301849799437522</v>
      </c>
      <c r="AB27" s="33">
        <f t="shared" si="7"/>
        <v>0.3818320190358588</v>
      </c>
      <c r="AC27" s="33">
        <v>0.5</v>
      </c>
      <c r="AD27" s="33">
        <f t="shared" si="8"/>
        <v>0.6286012796808005</v>
      </c>
      <c r="AE27" s="33">
        <f t="shared" si="9"/>
        <v>1</v>
      </c>
      <c r="AF27" s="33">
        <f t="shared" si="10"/>
        <v>-999</v>
      </c>
      <c r="AG27" s="33">
        <f t="shared" si="11"/>
        <v>0.39218178911188756</v>
      </c>
      <c r="AH27" s="33">
        <f t="shared" si="12"/>
        <v>-999</v>
      </c>
      <c r="AI27" s="34">
        <f t="shared" si="13"/>
        <v>0.33934527777955426</v>
      </c>
      <c r="AJ27" s="4">
        <v>24.221959800077364</v>
      </c>
      <c r="AK27" s="32">
        <f t="shared" si="14"/>
        <v>-999</v>
      </c>
      <c r="AL27" s="34">
        <f t="shared" si="15"/>
        <v>-999</v>
      </c>
      <c r="AY27" s="103" t="s">
        <v>115</v>
      </c>
      <c r="AZ27" s="103" t="s">
        <v>399</v>
      </c>
      <c r="BA27" s="103" t="s">
        <v>507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60</v>
      </c>
      <c r="E28" s="38">
        <f>IF(LEFT(VLOOKUP($B28,'Indicator chart'!$D$1:$J$36,5,FALSE),1)=" "," ",VLOOKUP($B28,'Indicator chart'!$D$1:$J$36,5,FALSE))</f>
        <v>645.5083378160301</v>
      </c>
      <c r="F28" s="38">
        <f>IF(LEFT(VLOOKUP($B28,'Indicator chart'!$D$1:$J$36,6,FALSE),1)=" "," ",VLOOKUP($B28,'Indicator chart'!$D$1:$J$36,6,FALSE))</f>
        <v>492.56080216515767</v>
      </c>
      <c r="G28" s="38">
        <f>IF(LEFT(VLOOKUP($B28,'Indicator chart'!$D$1:$J$36,7,FALSE),1)=" "," ",VLOOKUP($B28,'Indicator chart'!$D$1:$J$36,7,FALSE))</f>
        <v>830.9150420184634</v>
      </c>
      <c r="H28" s="50">
        <f t="shared" si="0"/>
        <v>2</v>
      </c>
      <c r="I28" s="38">
        <v>374.4205322265625</v>
      </c>
      <c r="J28" s="38">
        <v>567.45849609375</v>
      </c>
      <c r="K28" s="38">
        <v>738.37890625</v>
      </c>
      <c r="L28" s="38">
        <v>898.8355712890625</v>
      </c>
      <c r="M28" s="38">
        <v>1615.3458251953125</v>
      </c>
      <c r="N28" s="80">
        <f>VLOOKUP('Hide - Control'!B$3,'All practice data'!A:CA,A28+29,FALSE)</f>
        <v>752.4990113052135</v>
      </c>
      <c r="O28" s="80">
        <f>VLOOKUP('Hide - Control'!C$3,'All practice data'!A:CA,A28+29,FALSE)</f>
        <v>582.9390489900089</v>
      </c>
      <c r="P28" s="38">
        <f>VLOOKUP('Hide - Control'!$B$4,'All practice data'!B:BC,A28+2,FALSE)</f>
        <v>2759</v>
      </c>
      <c r="Q28" s="38">
        <f>VLOOKUP('Hide - Control'!$B$4,'All practice data'!B:BC,3,FALSE)</f>
        <v>366645</v>
      </c>
      <c r="R28" s="38">
        <f>100000*(P28*(1-1/(9*P28)-1.96/(3*SQRT(P28)))^3)/Q28</f>
        <v>724.6788648742212</v>
      </c>
      <c r="S28" s="38">
        <f>100000*((P28+1)*(1-1/(9*(P28+1))+1.96/(3*SQRT(P28+1)))^3)/Q28</f>
        <v>781.1136537564036</v>
      </c>
      <c r="T28" s="53">
        <f t="shared" si="19"/>
        <v>1615.3458251953125</v>
      </c>
      <c r="U28" s="51">
        <f t="shared" si="20"/>
        <v>374.4205322265625</v>
      </c>
      <c r="V28" s="7"/>
      <c r="W28" s="27">
        <f t="shared" si="2"/>
        <v>-138.5880126953125</v>
      </c>
      <c r="X28" s="27">
        <f t="shared" si="3"/>
        <v>1615.3458251953125</v>
      </c>
      <c r="Y28" s="27">
        <f t="shared" si="4"/>
        <v>-138.5880126953125</v>
      </c>
      <c r="Z28" s="27">
        <f t="shared" si="5"/>
        <v>1615.3458251953125</v>
      </c>
      <c r="AA28" s="32">
        <f t="shared" si="6"/>
        <v>0.292490248970193</v>
      </c>
      <c r="AB28" s="33">
        <f t="shared" si="7"/>
        <v>0.40255025220232477</v>
      </c>
      <c r="AC28" s="33">
        <v>0.5</v>
      </c>
      <c r="AD28" s="33">
        <f t="shared" si="8"/>
        <v>0.5914838756016226</v>
      </c>
      <c r="AE28" s="33">
        <f t="shared" si="9"/>
        <v>1</v>
      </c>
      <c r="AF28" s="33">
        <f t="shared" si="10"/>
        <v>-999</v>
      </c>
      <c r="AG28" s="33">
        <f t="shared" si="11"/>
        <v>0.4470501301544755</v>
      </c>
      <c r="AH28" s="33">
        <f t="shared" si="12"/>
        <v>-999</v>
      </c>
      <c r="AI28" s="34">
        <f t="shared" si="13"/>
        <v>0.4113764419717614</v>
      </c>
      <c r="AJ28" s="4">
        <v>25.297955225459287</v>
      </c>
      <c r="AK28" s="32">
        <f t="shared" si="14"/>
        <v>-999</v>
      </c>
      <c r="AL28" s="34">
        <f t="shared" si="15"/>
        <v>-999</v>
      </c>
      <c r="AY28" s="103" t="s">
        <v>241</v>
      </c>
      <c r="AZ28" s="103" t="s">
        <v>242</v>
      </c>
      <c r="BA28" s="103" t="s">
        <v>507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402</v>
      </c>
      <c r="BA29" s="103" t="s">
        <v>326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423</v>
      </c>
      <c r="BA31" s="103" t="s">
        <v>326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382</v>
      </c>
      <c r="BA32" s="103" t="s">
        <v>326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447</v>
      </c>
      <c r="BA33" s="103" t="s">
        <v>507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326</v>
      </c>
      <c r="BB34" s="10">
        <v>532801</v>
      </c>
      <c r="BE34" s="77"/>
      <c r="BF34" s="253"/>
    </row>
    <row r="35" spans="2:58" ht="12.75">
      <c r="B35" s="17" t="s">
        <v>41</v>
      </c>
      <c r="C35" s="18"/>
      <c r="H35" s="290" t="s">
        <v>559</v>
      </c>
      <c r="I35" s="291"/>
      <c r="Y35" s="43"/>
      <c r="Z35" s="44"/>
      <c r="AA35" s="44"/>
      <c r="AB35" s="43"/>
      <c r="AC35" s="43"/>
      <c r="AY35" s="103" t="s">
        <v>159</v>
      </c>
      <c r="AZ35" s="103" t="s">
        <v>415</v>
      </c>
      <c r="BA35" s="103" t="s">
        <v>326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404</v>
      </c>
      <c r="BA36" s="103" t="s">
        <v>326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421</v>
      </c>
      <c r="BA37" s="103" t="s">
        <v>326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326</v>
      </c>
      <c r="BB40" s="10">
        <v>714731</v>
      </c>
      <c r="BF40" s="252"/>
    </row>
    <row r="41" spans="1:58" ht="12.75">
      <c r="A41" s="3"/>
      <c r="B41" s="71"/>
      <c r="C41" s="3"/>
      <c r="T41" s="13"/>
      <c r="U41" s="2"/>
      <c r="W41" s="2"/>
      <c r="X41" s="10"/>
      <c r="Y41" s="44"/>
      <c r="Z41" s="44"/>
      <c r="AA41" s="44"/>
      <c r="AB41" s="44"/>
      <c r="AC41" s="44"/>
      <c r="AD41" s="2"/>
      <c r="AE41" s="2"/>
      <c r="AY41" s="103" t="s">
        <v>272</v>
      </c>
      <c r="AZ41" s="103" t="s">
        <v>448</v>
      </c>
      <c r="BA41" s="103" t="s">
        <v>507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445</v>
      </c>
      <c r="BA43" s="103" t="s">
        <v>326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433</v>
      </c>
      <c r="BA44" s="103" t="s">
        <v>326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424</v>
      </c>
      <c r="BA46" s="103" t="s">
        <v>507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428</v>
      </c>
      <c r="BA48" s="103" t="s">
        <v>507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439</v>
      </c>
      <c r="BA49" s="103" t="s">
        <v>507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405</v>
      </c>
      <c r="BA51" s="103" t="s">
        <v>326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326</v>
      </c>
      <c r="BB52" s="10">
        <v>611636</v>
      </c>
      <c r="BF52" s="252"/>
    </row>
    <row r="53" spans="1:58" ht="12.75">
      <c r="A53" s="3"/>
      <c r="B53" s="12"/>
      <c r="C53" s="3"/>
      <c r="I53" s="11"/>
      <c r="J53" s="11"/>
      <c r="K53" s="11"/>
      <c r="L53" s="11"/>
      <c r="S53" s="11"/>
      <c r="U53" s="2"/>
      <c r="X53" s="2"/>
      <c r="Y53" s="2"/>
      <c r="Z53" s="2"/>
      <c r="AA53" s="2"/>
      <c r="AB53" s="2"/>
      <c r="AY53" s="103" t="s">
        <v>244</v>
      </c>
      <c r="AZ53" s="103" t="s">
        <v>438</v>
      </c>
      <c r="BA53" s="103" t="s">
        <v>326</v>
      </c>
      <c r="BB53" s="10">
        <v>230998</v>
      </c>
      <c r="BF53" s="252"/>
    </row>
    <row r="54" spans="1:58" ht="12.75">
      <c r="A54" s="3"/>
      <c r="B54" s="12"/>
      <c r="C54" s="3"/>
      <c r="I54" s="11"/>
      <c r="J54" s="11"/>
      <c r="K54" s="11"/>
      <c r="L54" s="11"/>
      <c r="S54" s="11"/>
      <c r="U54" s="2"/>
      <c r="X54" s="2"/>
      <c r="Y54" s="2"/>
      <c r="Z54" s="2"/>
      <c r="AA54" s="2"/>
      <c r="AB54" s="2"/>
      <c r="AY54" s="103" t="s">
        <v>67</v>
      </c>
      <c r="AZ54" s="103" t="s">
        <v>379</v>
      </c>
      <c r="BA54" s="103" t="s">
        <v>326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425</v>
      </c>
      <c r="BA55" s="103" t="s">
        <v>326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395</v>
      </c>
      <c r="BA56" s="103" t="s">
        <v>326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440</v>
      </c>
      <c r="BA57" s="103" t="s">
        <v>326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385</v>
      </c>
      <c r="BA58" s="103" t="s">
        <v>326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429</v>
      </c>
      <c r="BA61" s="103" t="s">
        <v>507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418</v>
      </c>
      <c r="BA63" s="103" t="s">
        <v>326</v>
      </c>
      <c r="BB63" s="10">
        <v>318405</v>
      </c>
      <c r="BE63" s="70"/>
      <c r="BF63" s="239"/>
    </row>
    <row r="64" spans="1:58" ht="12.75">
      <c r="A64" s="3"/>
      <c r="B64" s="12"/>
      <c r="C64" s="3"/>
      <c r="I64" s="11"/>
      <c r="V64" s="3"/>
      <c r="AY64" s="103" t="s">
        <v>78</v>
      </c>
      <c r="AZ64" s="103" t="s">
        <v>386</v>
      </c>
      <c r="BA64" s="103" t="s">
        <v>507</v>
      </c>
      <c r="BB64" s="10">
        <v>181285</v>
      </c>
      <c r="BE64" s="70"/>
      <c r="BF64" s="241"/>
    </row>
    <row r="65" spans="1:58" ht="12.75">
      <c r="A65" s="3"/>
      <c r="B65" s="12"/>
      <c r="C65" s="3"/>
      <c r="AY65" s="103" t="s">
        <v>496</v>
      </c>
      <c r="AZ65" s="103" t="s">
        <v>497</v>
      </c>
      <c r="BA65" s="103" t="s">
        <v>326</v>
      </c>
      <c r="BB65" s="10">
        <v>1169302</v>
      </c>
      <c r="BE65" s="70"/>
      <c r="BF65" s="241"/>
    </row>
    <row r="66" spans="1:58" ht="12.75">
      <c r="A66" s="3"/>
      <c r="B66" s="12"/>
      <c r="C66" s="3"/>
      <c r="E66" s="2"/>
      <c r="F66" s="2"/>
      <c r="G66" s="2"/>
      <c r="V66" s="2"/>
      <c r="AY66" s="103" t="s">
        <v>200</v>
      </c>
      <c r="AZ66" s="103" t="s">
        <v>426</v>
      </c>
      <c r="BA66" s="103" t="s">
        <v>326</v>
      </c>
      <c r="BB66" s="10">
        <v>217916</v>
      </c>
      <c r="BE66" s="70"/>
      <c r="BF66" s="239"/>
    </row>
    <row r="67" spans="1:58" ht="12.75">
      <c r="A67" s="3"/>
      <c r="B67" s="12"/>
      <c r="C67" s="3"/>
      <c r="AY67" s="103" t="s">
        <v>69</v>
      </c>
      <c r="AZ67" s="103" t="s">
        <v>70</v>
      </c>
      <c r="BA67" s="103" t="s">
        <v>326</v>
      </c>
      <c r="BB67" s="10">
        <v>270842</v>
      </c>
      <c r="BE67" s="70"/>
      <c r="BF67" s="239"/>
    </row>
    <row r="68" spans="1:58" ht="12.75">
      <c r="A68" s="3"/>
      <c r="B68" s="12"/>
      <c r="C68" s="3"/>
      <c r="AY68" s="103" t="s">
        <v>109</v>
      </c>
      <c r="AZ68" s="103" t="s">
        <v>110</v>
      </c>
      <c r="BA68" s="103" t="s">
        <v>326</v>
      </c>
      <c r="BB68" s="10">
        <v>251613</v>
      </c>
      <c r="BF68" s="252"/>
    </row>
    <row r="69" spans="1:58" ht="12.75">
      <c r="A69" s="3"/>
      <c r="B69" s="12"/>
      <c r="C69" s="3"/>
      <c r="AY69" s="103" t="s">
        <v>209</v>
      </c>
      <c r="AZ69" s="103" t="s">
        <v>210</v>
      </c>
      <c r="BA69" s="103" t="s">
        <v>326</v>
      </c>
      <c r="BB69" s="10">
        <v>283547</v>
      </c>
      <c r="BE69" s="70"/>
      <c r="BF69" s="241"/>
    </row>
    <row r="70" spans="1:58" ht="12.75">
      <c r="A70" s="3"/>
      <c r="B70" s="12"/>
      <c r="C70" s="3"/>
      <c r="AY70" s="103" t="s">
        <v>275</v>
      </c>
      <c r="AZ70" s="103" t="s">
        <v>449</v>
      </c>
      <c r="BA70" s="103" t="s">
        <v>506</v>
      </c>
      <c r="BB70" s="10">
        <v>141474</v>
      </c>
      <c r="BE70" s="70"/>
      <c r="BF70" s="239"/>
    </row>
    <row r="71" spans="1:58" ht="12.75">
      <c r="A71" s="3"/>
      <c r="B71" s="12"/>
      <c r="C71" s="3"/>
      <c r="AY71" s="103" t="s">
        <v>127</v>
      </c>
      <c r="AZ71" s="103" t="s">
        <v>403</v>
      </c>
      <c r="BA71" s="103" t="s">
        <v>326</v>
      </c>
      <c r="BB71" s="10">
        <v>213326</v>
      </c>
      <c r="BE71" s="70"/>
      <c r="BF71" s="239"/>
    </row>
    <row r="72" spans="1:58" ht="12.75">
      <c r="A72" s="3"/>
      <c r="B72" s="12"/>
      <c r="C72" s="3"/>
      <c r="AY72" s="103" t="s">
        <v>136</v>
      </c>
      <c r="AZ72" s="103" t="s">
        <v>137</v>
      </c>
      <c r="BA72" s="103" t="s">
        <v>326</v>
      </c>
      <c r="BB72" s="10">
        <v>183220</v>
      </c>
      <c r="BE72" s="250"/>
      <c r="BF72" s="239"/>
    </row>
    <row r="73" spans="1:58" ht="12.75">
      <c r="A73" s="3"/>
      <c r="B73" s="12"/>
      <c r="C73" s="3"/>
      <c r="AY73" s="103" t="s">
        <v>64</v>
      </c>
      <c r="AZ73" s="103" t="s">
        <v>378</v>
      </c>
      <c r="BA73" s="103" t="s">
        <v>326</v>
      </c>
      <c r="BB73" s="10">
        <v>190143</v>
      </c>
      <c r="BE73" s="70"/>
      <c r="BF73" s="239"/>
    </row>
    <row r="74" spans="1:58" ht="12.75">
      <c r="A74" s="3"/>
      <c r="B74" s="12"/>
      <c r="C74" s="3"/>
      <c r="AY74" s="103" t="s">
        <v>165</v>
      </c>
      <c r="AZ74" s="103" t="s">
        <v>166</v>
      </c>
      <c r="BA74" s="103" t="s">
        <v>507</v>
      </c>
      <c r="BB74" s="10">
        <v>419928</v>
      </c>
      <c r="BE74" s="70"/>
      <c r="BF74" s="241"/>
    </row>
    <row r="75" spans="1:58" ht="12.75">
      <c r="A75" s="3"/>
      <c r="B75" s="12"/>
      <c r="C75" s="3"/>
      <c r="AY75" s="103" t="s">
        <v>113</v>
      </c>
      <c r="AZ75" s="103" t="s">
        <v>397</v>
      </c>
      <c r="BA75" s="103" t="s">
        <v>326</v>
      </c>
      <c r="BB75" s="10">
        <v>158106</v>
      </c>
      <c r="BE75" s="70"/>
      <c r="BF75" s="241"/>
    </row>
    <row r="76" spans="1:58" ht="12.75">
      <c r="A76" s="3"/>
      <c r="B76" s="12"/>
      <c r="C76" s="3"/>
      <c r="AY76" s="103" t="s">
        <v>140</v>
      </c>
      <c r="AZ76" s="103" t="s">
        <v>141</v>
      </c>
      <c r="BA76" s="103" t="s">
        <v>326</v>
      </c>
      <c r="BB76" s="10">
        <v>377807</v>
      </c>
      <c r="BE76" s="70"/>
      <c r="BF76" s="241"/>
    </row>
    <row r="77" spans="1:58" ht="12.75">
      <c r="A77" s="3"/>
      <c r="B77" s="12"/>
      <c r="C77" s="3"/>
      <c r="AY77" s="103" t="s">
        <v>163</v>
      </c>
      <c r="AZ77" s="103" t="s">
        <v>164</v>
      </c>
      <c r="BA77" s="103" t="s">
        <v>507</v>
      </c>
      <c r="BB77" s="10">
        <v>799634</v>
      </c>
      <c r="BE77" s="70"/>
      <c r="BF77" s="249"/>
    </row>
    <row r="78" spans="1:58" ht="12.75">
      <c r="A78" s="3"/>
      <c r="B78" s="12"/>
      <c r="C78" s="3"/>
      <c r="AY78" s="103" t="s">
        <v>224</v>
      </c>
      <c r="AZ78" s="103" t="s">
        <v>225</v>
      </c>
      <c r="BA78" s="103" t="s">
        <v>326</v>
      </c>
      <c r="BB78" s="10">
        <v>362638</v>
      </c>
      <c r="BE78" s="70"/>
      <c r="BF78" s="239"/>
    </row>
    <row r="79" spans="1:58" ht="12.75">
      <c r="A79" s="3"/>
      <c r="B79" s="12"/>
      <c r="C79" s="3"/>
      <c r="AY79" s="103" t="s">
        <v>223</v>
      </c>
      <c r="AZ79" s="103" t="s">
        <v>431</v>
      </c>
      <c r="BA79" s="103" t="s">
        <v>326</v>
      </c>
      <c r="BB79" s="10">
        <v>678998</v>
      </c>
      <c r="BF79" s="239"/>
    </row>
    <row r="80" spans="1:58" ht="12.75">
      <c r="A80" s="3"/>
      <c r="B80" s="12"/>
      <c r="C80" s="3"/>
      <c r="AY80" s="103" t="s">
        <v>144</v>
      </c>
      <c r="AZ80" s="103" t="s">
        <v>145</v>
      </c>
      <c r="BA80" s="103" t="s">
        <v>326</v>
      </c>
      <c r="BB80" s="10">
        <v>290986</v>
      </c>
      <c r="BF80" s="252"/>
    </row>
    <row r="81" spans="1:58" ht="12.75">
      <c r="A81" s="3"/>
      <c r="B81" s="12"/>
      <c r="C81" s="3"/>
      <c r="AY81" s="103" t="s">
        <v>178</v>
      </c>
      <c r="AZ81" s="103" t="s">
        <v>420</v>
      </c>
      <c r="BA81" s="103" t="s">
        <v>507</v>
      </c>
      <c r="BB81" s="10">
        <v>747976</v>
      </c>
      <c r="BF81" s="252"/>
    </row>
    <row r="82" spans="1:58" ht="12.75">
      <c r="A82" s="3"/>
      <c r="B82" s="12"/>
      <c r="C82" s="3"/>
      <c r="AY82" s="103" t="s">
        <v>193</v>
      </c>
      <c r="AZ82" s="103" t="s">
        <v>194</v>
      </c>
      <c r="BA82" s="103" t="s">
        <v>326</v>
      </c>
      <c r="BB82" s="10">
        <v>489140</v>
      </c>
      <c r="BF82" s="252"/>
    </row>
    <row r="83" spans="1:58" ht="12.75">
      <c r="A83" s="3"/>
      <c r="B83" s="12"/>
      <c r="C83" s="3"/>
      <c r="AY83" s="103" t="s">
        <v>98</v>
      </c>
      <c r="AZ83" s="103" t="s">
        <v>394</v>
      </c>
      <c r="BA83" s="103" t="s">
        <v>507</v>
      </c>
      <c r="BB83" s="10">
        <v>208442</v>
      </c>
      <c r="BE83" s="70"/>
      <c r="BF83" s="241"/>
    </row>
    <row r="84" spans="1:58" ht="12.75">
      <c r="A84" s="3"/>
      <c r="B84" s="12"/>
      <c r="C84" s="3"/>
      <c r="AY84" s="103" t="s">
        <v>203</v>
      </c>
      <c r="AZ84" s="103" t="s">
        <v>204</v>
      </c>
      <c r="BA84" s="103" t="s">
        <v>507</v>
      </c>
      <c r="BB84" s="10">
        <v>545543</v>
      </c>
      <c r="BE84" s="70"/>
      <c r="BF84" s="241"/>
    </row>
    <row r="85" spans="1:58" ht="12.75">
      <c r="A85" s="3"/>
      <c r="B85" s="12"/>
      <c r="C85" s="3"/>
      <c r="AY85" s="103" t="s">
        <v>135</v>
      </c>
      <c r="AZ85" s="103" t="s">
        <v>409</v>
      </c>
      <c r="BA85" s="103" t="s">
        <v>507</v>
      </c>
      <c r="BB85" s="10">
        <v>274067</v>
      </c>
      <c r="BE85" s="70"/>
      <c r="BF85" s="241"/>
    </row>
    <row r="86" spans="1:58" ht="12.75">
      <c r="A86" s="3"/>
      <c r="B86" s="12"/>
      <c r="C86" s="3"/>
      <c r="AY86" s="103" t="s">
        <v>251</v>
      </c>
      <c r="AZ86" s="103" t="s">
        <v>252</v>
      </c>
      <c r="BA86" s="103" t="s">
        <v>507</v>
      </c>
      <c r="BB86" s="10">
        <v>374861</v>
      </c>
      <c r="BE86" s="70"/>
      <c r="BF86" s="249"/>
    </row>
    <row r="87" spans="1:58" ht="12.75">
      <c r="A87" s="3"/>
      <c r="B87" s="12"/>
      <c r="C87" s="3"/>
      <c r="AY87" s="103" t="s">
        <v>132</v>
      </c>
      <c r="AZ87" s="103" t="s">
        <v>133</v>
      </c>
      <c r="BA87" s="103" t="s">
        <v>326</v>
      </c>
      <c r="BB87" s="10">
        <v>153833</v>
      </c>
      <c r="BE87" s="70"/>
      <c r="BF87" s="249"/>
    </row>
    <row r="88" spans="1:58" ht="12.75">
      <c r="A88" s="3"/>
      <c r="B88" s="12"/>
      <c r="C88" s="3"/>
      <c r="AY88" s="103" t="s">
        <v>79</v>
      </c>
      <c r="AZ88" s="103" t="s">
        <v>80</v>
      </c>
      <c r="BA88" s="103" t="s">
        <v>507</v>
      </c>
      <c r="BB88" s="10">
        <v>258492</v>
      </c>
      <c r="BE88" s="70"/>
      <c r="BF88" s="241"/>
    </row>
    <row r="89" spans="1:58" ht="12.75">
      <c r="A89" s="3"/>
      <c r="B89" s="12"/>
      <c r="C89" s="3"/>
      <c r="AY89" s="103" t="s">
        <v>81</v>
      </c>
      <c r="AZ89" s="103" t="s">
        <v>387</v>
      </c>
      <c r="BA89" s="103" t="s">
        <v>326</v>
      </c>
      <c r="BB89" s="10">
        <v>283085</v>
      </c>
      <c r="BE89" s="70"/>
      <c r="BF89" s="241"/>
    </row>
    <row r="90" spans="1:58" ht="12.75">
      <c r="A90" s="3"/>
      <c r="B90" s="12"/>
      <c r="C90" s="3"/>
      <c r="AY90" s="103" t="s">
        <v>76</v>
      </c>
      <c r="AZ90" s="103" t="s">
        <v>384</v>
      </c>
      <c r="BA90" s="103" t="s">
        <v>326</v>
      </c>
      <c r="BB90" s="10">
        <v>357346</v>
      </c>
      <c r="BE90" s="70"/>
      <c r="BF90" s="241"/>
    </row>
    <row r="91" spans="1:58" ht="12.75">
      <c r="A91" s="3"/>
      <c r="B91" s="12"/>
      <c r="C91" s="3"/>
      <c r="AY91" s="103" t="s">
        <v>243</v>
      </c>
      <c r="AZ91" s="103" t="s">
        <v>437</v>
      </c>
      <c r="BA91" s="103" t="s">
        <v>507</v>
      </c>
      <c r="BB91" s="10">
        <v>748575</v>
      </c>
      <c r="BE91" s="247"/>
      <c r="BF91" s="249"/>
    </row>
    <row r="92" spans="1:58" ht="12.75">
      <c r="A92" s="3"/>
      <c r="B92" s="12"/>
      <c r="C92" s="3"/>
      <c r="AY92" s="103" t="s">
        <v>249</v>
      </c>
      <c r="AZ92" s="103" t="s">
        <v>250</v>
      </c>
      <c r="BA92" s="103" t="s">
        <v>507</v>
      </c>
      <c r="BB92" s="10">
        <v>322673</v>
      </c>
      <c r="BE92" s="247"/>
      <c r="BF92" s="249"/>
    </row>
    <row r="93" spans="1:58" ht="12.75">
      <c r="A93" s="3"/>
      <c r="B93" s="12"/>
      <c r="C93" s="3"/>
      <c r="AY93" s="103" t="s">
        <v>58</v>
      </c>
      <c r="AZ93" s="103" t="s">
        <v>59</v>
      </c>
      <c r="BA93" s="103" t="s">
        <v>326</v>
      </c>
      <c r="BB93" s="10">
        <v>165284</v>
      </c>
      <c r="BF93" s="252"/>
    </row>
    <row r="94" spans="1:58" ht="12.75">
      <c r="A94" s="3"/>
      <c r="B94" s="12"/>
      <c r="C94" s="3"/>
      <c r="AY94" s="103" t="s">
        <v>186</v>
      </c>
      <c r="AZ94" s="103" t="s">
        <v>422</v>
      </c>
      <c r="BA94" s="103" t="s">
        <v>326</v>
      </c>
      <c r="BB94" s="10">
        <v>339272</v>
      </c>
      <c r="BE94" s="70"/>
      <c r="BF94" s="241"/>
    </row>
    <row r="95" spans="1:58" ht="12.75">
      <c r="A95" s="3"/>
      <c r="B95" s="12"/>
      <c r="C95" s="3"/>
      <c r="AY95" s="103" t="s">
        <v>86</v>
      </c>
      <c r="AZ95" s="103" t="s">
        <v>87</v>
      </c>
      <c r="BA95" s="103" t="s">
        <v>326</v>
      </c>
      <c r="BB95" s="10">
        <v>165642</v>
      </c>
      <c r="BE95" s="247"/>
      <c r="BF95" s="249"/>
    </row>
    <row r="96" spans="1:58" ht="12.75">
      <c r="A96" s="3"/>
      <c r="B96" s="12"/>
      <c r="C96" s="3"/>
      <c r="AY96" s="103" t="s">
        <v>157</v>
      </c>
      <c r="AZ96" s="103" t="s">
        <v>158</v>
      </c>
      <c r="BA96" s="103" t="s">
        <v>326</v>
      </c>
      <c r="BB96" s="10">
        <v>208351</v>
      </c>
      <c r="BE96" s="243"/>
      <c r="BF96" s="238"/>
    </row>
    <row r="97" spans="1:58" ht="12.75">
      <c r="A97" s="3"/>
      <c r="B97" s="12"/>
      <c r="C97" s="3"/>
      <c r="AY97" s="103" t="s">
        <v>231</v>
      </c>
      <c r="AZ97" s="103" t="s">
        <v>232</v>
      </c>
      <c r="BA97" s="103" t="s">
        <v>326</v>
      </c>
      <c r="BB97" s="10">
        <v>203178</v>
      </c>
      <c r="BE97" s="243"/>
      <c r="BF97" s="238"/>
    </row>
    <row r="98" spans="1:58" ht="12.75">
      <c r="A98" s="3"/>
      <c r="B98" s="12"/>
      <c r="C98" s="3"/>
      <c r="AY98" s="103" t="s">
        <v>82</v>
      </c>
      <c r="AZ98" s="103" t="s">
        <v>388</v>
      </c>
      <c r="BA98" s="103" t="s">
        <v>326</v>
      </c>
      <c r="BB98" s="10">
        <v>214052</v>
      </c>
      <c r="BE98" s="248"/>
      <c r="BF98" s="241"/>
    </row>
    <row r="99" spans="1:58" ht="12.75">
      <c r="A99" s="3"/>
      <c r="B99" s="12"/>
      <c r="C99" s="3"/>
      <c r="AY99" s="103" t="s">
        <v>205</v>
      </c>
      <c r="AZ99" s="103" t="s">
        <v>206</v>
      </c>
      <c r="BA99" s="103" t="s">
        <v>507</v>
      </c>
      <c r="BB99" s="10">
        <v>795503</v>
      </c>
      <c r="BE99" s="70"/>
      <c r="BF99" s="249"/>
    </row>
    <row r="100" spans="1:58" ht="12.75">
      <c r="A100" s="3"/>
      <c r="B100" s="12"/>
      <c r="C100" s="3"/>
      <c r="AY100" s="103" t="s">
        <v>226</v>
      </c>
      <c r="AZ100" s="103" t="s">
        <v>432</v>
      </c>
      <c r="BA100" s="103" t="s">
        <v>326</v>
      </c>
      <c r="BB100" s="10">
        <v>648340</v>
      </c>
      <c r="BE100" s="70"/>
      <c r="BF100" s="249"/>
    </row>
    <row r="101" spans="51:58" ht="12.75">
      <c r="AY101" s="103" t="s">
        <v>51</v>
      </c>
      <c r="AZ101" s="103" t="s">
        <v>52</v>
      </c>
      <c r="BA101" s="103" t="s">
        <v>326</v>
      </c>
      <c r="BB101" s="10">
        <v>320818</v>
      </c>
      <c r="BE101" s="237"/>
      <c r="BF101" s="238"/>
    </row>
    <row r="102" spans="51:58" ht="12.75">
      <c r="AY102" s="103" t="s">
        <v>88</v>
      </c>
      <c r="AZ102" s="103" t="s">
        <v>89</v>
      </c>
      <c r="BA102" s="103" t="s">
        <v>326</v>
      </c>
      <c r="BB102" s="10">
        <v>339920</v>
      </c>
      <c r="BE102" s="237"/>
      <c r="BF102" s="238"/>
    </row>
    <row r="103" spans="51:58" ht="12.75">
      <c r="AY103" s="103" t="s">
        <v>177</v>
      </c>
      <c r="AZ103" s="103" t="s">
        <v>419</v>
      </c>
      <c r="BA103" s="103" t="s">
        <v>326</v>
      </c>
      <c r="BB103" s="10">
        <v>656875</v>
      </c>
      <c r="BE103" s="70"/>
      <c r="BF103" s="239"/>
    </row>
    <row r="104" spans="51:58" ht="12.75">
      <c r="AY104" s="103" t="s">
        <v>114</v>
      </c>
      <c r="AZ104" s="103" t="s">
        <v>398</v>
      </c>
      <c r="BA104" s="103" t="s">
        <v>326</v>
      </c>
      <c r="BB104" s="10">
        <v>236592</v>
      </c>
      <c r="BF104" s="252"/>
    </row>
    <row r="105" spans="51:58" ht="12.75">
      <c r="AY105" s="103" t="s">
        <v>259</v>
      </c>
      <c r="AZ105" s="103" t="s">
        <v>441</v>
      </c>
      <c r="BA105" s="103" t="s">
        <v>507</v>
      </c>
      <c r="BB105" s="10">
        <v>671572</v>
      </c>
      <c r="BE105" s="237"/>
      <c r="BF105" s="238"/>
    </row>
    <row r="106" spans="51:58" ht="12.75">
      <c r="AY106" s="103" t="s">
        <v>239</v>
      </c>
      <c r="AZ106" s="103" t="s">
        <v>240</v>
      </c>
      <c r="BA106" s="103" t="s">
        <v>507</v>
      </c>
      <c r="BB106" s="10">
        <v>177882</v>
      </c>
      <c r="BF106" s="252"/>
    </row>
    <row r="107" spans="51:58" ht="12.75">
      <c r="AY107" s="103" t="s">
        <v>91</v>
      </c>
      <c r="AZ107" s="103" t="s">
        <v>391</v>
      </c>
      <c r="BA107" s="103" t="s">
        <v>326</v>
      </c>
      <c r="BB107" s="10">
        <v>274443</v>
      </c>
      <c r="BF107" s="252"/>
    </row>
    <row r="108" spans="51:58" ht="12.75">
      <c r="AY108" s="103" t="s">
        <v>95</v>
      </c>
      <c r="AZ108" s="103" t="s">
        <v>393</v>
      </c>
      <c r="BA108" s="103" t="s">
        <v>326</v>
      </c>
      <c r="BB108" s="10">
        <v>213174</v>
      </c>
      <c r="BE108" s="70"/>
      <c r="BF108" s="239"/>
    </row>
    <row r="109" spans="51:58" ht="12.75">
      <c r="AY109" s="103" t="s">
        <v>179</v>
      </c>
      <c r="AZ109" s="103" t="s">
        <v>180</v>
      </c>
      <c r="BA109" s="103" t="s">
        <v>326</v>
      </c>
      <c r="BB109" s="10">
        <v>278950</v>
      </c>
      <c r="BE109" s="237"/>
      <c r="BF109" s="238"/>
    </row>
    <row r="110" spans="51:58" ht="12.75">
      <c r="AY110" s="103" t="s">
        <v>273</v>
      </c>
      <c r="AZ110" s="103" t="s">
        <v>274</v>
      </c>
      <c r="BA110" s="103" t="s">
        <v>326</v>
      </c>
      <c r="BB110" s="10">
        <v>133304</v>
      </c>
      <c r="BE110" s="70"/>
      <c r="BF110" s="249"/>
    </row>
    <row r="111" spans="51:58" ht="12.75">
      <c r="AY111" s="103" t="s">
        <v>155</v>
      </c>
      <c r="AZ111" s="103" t="s">
        <v>413</v>
      </c>
      <c r="BA111" s="103" t="s">
        <v>326</v>
      </c>
      <c r="BB111" s="10">
        <v>197060</v>
      </c>
      <c r="BE111" s="70"/>
      <c r="BF111" s="239"/>
    </row>
    <row r="112" spans="51:58" ht="12.75">
      <c r="AY112" s="103" t="s">
        <v>100</v>
      </c>
      <c r="AZ112" s="103" t="s">
        <v>101</v>
      </c>
      <c r="BA112" s="103" t="s">
        <v>326</v>
      </c>
      <c r="BB112" s="10">
        <v>253140</v>
      </c>
      <c r="BE112" s="250"/>
      <c r="BF112" s="249"/>
    </row>
    <row r="113" spans="51:58" ht="12.75">
      <c r="AY113" s="103" t="s">
        <v>92</v>
      </c>
      <c r="AZ113" s="103" t="s">
        <v>93</v>
      </c>
      <c r="BA113" s="103" t="s">
        <v>326</v>
      </c>
      <c r="BB113" s="10">
        <v>240983</v>
      </c>
      <c r="BE113" s="70"/>
      <c r="BF113" s="241"/>
    </row>
    <row r="114" spans="51:58" ht="12.75">
      <c r="AY114" s="103" t="s">
        <v>228</v>
      </c>
      <c r="AZ114" s="103" t="s">
        <v>434</v>
      </c>
      <c r="BA114" s="103" t="s">
        <v>326</v>
      </c>
      <c r="BB114" s="10">
        <v>340451</v>
      </c>
      <c r="BF114" s="241"/>
    </row>
    <row r="115" spans="51:58" ht="12.75">
      <c r="AY115" s="103" t="s">
        <v>189</v>
      </c>
      <c r="AZ115" s="103" t="s">
        <v>190</v>
      </c>
      <c r="BA115" s="103" t="s">
        <v>326</v>
      </c>
      <c r="BB115" s="10">
        <v>280673</v>
      </c>
      <c r="BE115" s="248"/>
      <c r="BF115" s="241"/>
    </row>
    <row r="116" spans="51:58" ht="12.75">
      <c r="AY116" s="103" t="s">
        <v>169</v>
      </c>
      <c r="AZ116" s="103" t="s">
        <v>170</v>
      </c>
      <c r="BA116" s="103" t="s">
        <v>326</v>
      </c>
      <c r="BB116" s="10">
        <v>565874</v>
      </c>
      <c r="BE116" s="70"/>
      <c r="BF116" s="239"/>
    </row>
    <row r="117" spans="51:58" ht="12.75">
      <c r="AY117" s="103" t="s">
        <v>152</v>
      </c>
      <c r="AZ117" s="103" t="s">
        <v>412</v>
      </c>
      <c r="BA117" s="103" t="s">
        <v>507</v>
      </c>
      <c r="BB117" s="10">
        <v>295379</v>
      </c>
      <c r="BE117" s="237"/>
      <c r="BF117" s="238"/>
    </row>
    <row r="118" spans="51:58" ht="12.75">
      <c r="AY118" s="103" t="s">
        <v>56</v>
      </c>
      <c r="AZ118" s="103" t="s">
        <v>57</v>
      </c>
      <c r="BA118" s="103" t="s">
        <v>326</v>
      </c>
      <c r="BB118" s="10">
        <v>217094</v>
      </c>
      <c r="BE118" s="70"/>
      <c r="BF118" s="239"/>
    </row>
    <row r="119" spans="51:58" ht="12.75">
      <c r="AY119" s="103" t="s">
        <v>268</v>
      </c>
      <c r="AZ119" s="103" t="s">
        <v>444</v>
      </c>
      <c r="BA119" s="103" t="s">
        <v>326</v>
      </c>
      <c r="BB119" s="10">
        <v>538131</v>
      </c>
      <c r="BE119" s="70"/>
      <c r="BF119" s="239"/>
    </row>
    <row r="120" spans="51:58" ht="12.75">
      <c r="AY120" s="103" t="s">
        <v>150</v>
      </c>
      <c r="AZ120" s="103" t="s">
        <v>151</v>
      </c>
      <c r="BA120" s="103" t="s">
        <v>507</v>
      </c>
      <c r="BB120" s="10">
        <v>389725</v>
      </c>
      <c r="BE120" s="70"/>
      <c r="BF120" s="239"/>
    </row>
    <row r="121" spans="51:58" ht="12.75">
      <c r="AY121" s="103" t="s">
        <v>212</v>
      </c>
      <c r="AZ121" s="103" t="s">
        <v>213</v>
      </c>
      <c r="BA121" s="103" t="s">
        <v>507</v>
      </c>
      <c r="BB121" s="10">
        <v>356812</v>
      </c>
      <c r="BE121" s="237"/>
      <c r="BF121" s="238"/>
    </row>
    <row r="122" spans="51:58" ht="12.75">
      <c r="AY122" s="103" t="s">
        <v>60</v>
      </c>
      <c r="AZ122" s="103" t="s">
        <v>61</v>
      </c>
      <c r="BA122" s="103" t="s">
        <v>326</v>
      </c>
      <c r="BB122" s="10">
        <v>256321</v>
      </c>
      <c r="BE122" s="70"/>
      <c r="BF122" s="249"/>
    </row>
    <row r="123" spans="51:58" ht="12.75">
      <c r="AY123" s="103" t="s">
        <v>234</v>
      </c>
      <c r="AZ123" s="103" t="s">
        <v>436</v>
      </c>
      <c r="BA123" s="103" t="s">
        <v>507</v>
      </c>
      <c r="BB123" s="10">
        <v>615835</v>
      </c>
      <c r="BF123" s="252"/>
    </row>
    <row r="124" spans="51:58" ht="12.75">
      <c r="AY124" s="103" t="s">
        <v>130</v>
      </c>
      <c r="AZ124" s="103" t="s">
        <v>406</v>
      </c>
      <c r="BA124" s="103" t="s">
        <v>326</v>
      </c>
      <c r="BB124" s="10">
        <v>150179</v>
      </c>
      <c r="BF124" s="252"/>
    </row>
    <row r="125" spans="51:58" ht="12.75">
      <c r="AY125" s="103" t="s">
        <v>253</v>
      </c>
      <c r="AZ125" s="103" t="s">
        <v>254</v>
      </c>
      <c r="BA125" s="103" t="s">
        <v>326</v>
      </c>
      <c r="BB125" s="10">
        <v>420503</v>
      </c>
      <c r="BE125" s="70"/>
      <c r="BF125" s="249"/>
    </row>
    <row r="126" spans="51:58" ht="12.75">
      <c r="AY126" s="103" t="s">
        <v>134</v>
      </c>
      <c r="AZ126" s="103" t="s">
        <v>408</v>
      </c>
      <c r="BA126" s="103" t="s">
        <v>326</v>
      </c>
      <c r="BB126" s="10">
        <v>263936</v>
      </c>
      <c r="BE126" s="70"/>
      <c r="BF126" s="239"/>
    </row>
    <row r="127" spans="51:58" ht="12.75">
      <c r="AY127" s="103" t="s">
        <v>142</v>
      </c>
      <c r="AZ127" s="103" t="s">
        <v>143</v>
      </c>
      <c r="BA127" s="103" t="s">
        <v>326</v>
      </c>
      <c r="BB127" s="10">
        <v>308593</v>
      </c>
      <c r="BF127" s="252"/>
    </row>
    <row r="128" spans="51:58" ht="12.75">
      <c r="AY128" s="103" t="s">
        <v>94</v>
      </c>
      <c r="AZ128" s="103" t="s">
        <v>392</v>
      </c>
      <c r="BA128" s="103" t="s">
        <v>507</v>
      </c>
      <c r="BB128" s="10">
        <v>298190</v>
      </c>
      <c r="BE128" s="250"/>
      <c r="BF128" s="249"/>
    </row>
    <row r="129" spans="51:58" ht="12.75">
      <c r="AY129" s="103" t="s">
        <v>85</v>
      </c>
      <c r="AZ129" s="103" t="s">
        <v>389</v>
      </c>
      <c r="BA129" s="103" t="s">
        <v>326</v>
      </c>
      <c r="BB129" s="10">
        <v>191885</v>
      </c>
      <c r="BE129" s="70"/>
      <c r="BF129" s="249"/>
    </row>
    <row r="130" spans="51:58" ht="12.75">
      <c r="AY130" s="103" t="s">
        <v>233</v>
      </c>
      <c r="AZ130" s="103" t="s">
        <v>435</v>
      </c>
      <c r="BA130" s="103" t="s">
        <v>326</v>
      </c>
      <c r="BB130" s="10">
        <v>268223</v>
      </c>
      <c r="BE130" s="70"/>
      <c r="BF130" s="249"/>
    </row>
    <row r="131" spans="51:58" ht="12.75">
      <c r="AY131" s="103" t="s">
        <v>245</v>
      </c>
      <c r="AZ131" s="103" t="s">
        <v>246</v>
      </c>
      <c r="BA131" s="103" t="s">
        <v>507</v>
      </c>
      <c r="BB131" s="10">
        <v>616983</v>
      </c>
      <c r="BE131" s="247"/>
      <c r="BF131" s="249"/>
    </row>
    <row r="132" spans="51:58" ht="12.75">
      <c r="AY132" s="103" t="s">
        <v>131</v>
      </c>
      <c r="AZ132" s="103" t="s">
        <v>407</v>
      </c>
      <c r="BA132" s="103" t="s">
        <v>326</v>
      </c>
      <c r="BB132" s="10">
        <v>283991</v>
      </c>
      <c r="BE132" s="247"/>
      <c r="BF132" s="249"/>
    </row>
    <row r="133" spans="51:58" ht="12.75">
      <c r="AY133" s="103" t="s">
        <v>216</v>
      </c>
      <c r="AZ133" s="103" t="s">
        <v>217</v>
      </c>
      <c r="BA133" s="103" t="s">
        <v>326</v>
      </c>
      <c r="BB133" s="10">
        <v>1156805</v>
      </c>
      <c r="BE133" s="247"/>
      <c r="BF133" s="251"/>
    </row>
    <row r="134" spans="51:58" ht="12.75">
      <c r="AY134" s="103" t="s">
        <v>156</v>
      </c>
      <c r="AZ134" s="103" t="s">
        <v>414</v>
      </c>
      <c r="BA134" s="103" t="s">
        <v>326</v>
      </c>
      <c r="BB134" s="10">
        <v>390971</v>
      </c>
      <c r="BE134" s="243"/>
      <c r="BF134" s="238"/>
    </row>
    <row r="135" spans="51:58" ht="12.75">
      <c r="AY135" s="103" t="s">
        <v>121</v>
      </c>
      <c r="AZ135" s="103" t="s">
        <v>122</v>
      </c>
      <c r="BA135" s="103" t="s">
        <v>506</v>
      </c>
      <c r="BB135" s="10">
        <v>218182</v>
      </c>
      <c r="BE135" s="250"/>
      <c r="BF135" s="249"/>
    </row>
    <row r="136" spans="51:58" ht="12.75">
      <c r="AY136" s="103" t="s">
        <v>148</v>
      </c>
      <c r="AZ136" s="103" t="s">
        <v>410</v>
      </c>
      <c r="BA136" s="103" t="s">
        <v>507</v>
      </c>
      <c r="BB136" s="10">
        <v>236598</v>
      </c>
      <c r="BE136" s="237"/>
      <c r="BF136" s="238"/>
    </row>
    <row r="137" spans="51:58" ht="12.75">
      <c r="AY137" s="103" t="s">
        <v>160</v>
      </c>
      <c r="AZ137" s="103" t="s">
        <v>416</v>
      </c>
      <c r="BA137" s="103" t="s">
        <v>507</v>
      </c>
      <c r="BB137" s="10">
        <v>165993</v>
      </c>
      <c r="BF137" s="252"/>
    </row>
    <row r="138" spans="51:58" ht="12.75">
      <c r="AY138" s="103" t="s">
        <v>54</v>
      </c>
      <c r="AZ138" s="103" t="s">
        <v>55</v>
      </c>
      <c r="BA138" s="103" t="s">
        <v>326</v>
      </c>
      <c r="BB138" s="10">
        <v>145889</v>
      </c>
      <c r="BE138" s="70"/>
      <c r="BF138" s="239"/>
    </row>
    <row r="139" spans="51:58" ht="12.75">
      <c r="AY139" s="103" t="s">
        <v>75</v>
      </c>
      <c r="AZ139" s="103" t="s">
        <v>383</v>
      </c>
      <c r="BA139" s="103" t="s">
        <v>326</v>
      </c>
      <c r="BB139" s="10">
        <v>267393</v>
      </c>
      <c r="BE139" s="237"/>
      <c r="BF139" s="238"/>
    </row>
    <row r="140" spans="51:58" ht="12.75">
      <c r="AY140" s="103" t="s">
        <v>201</v>
      </c>
      <c r="AZ140" s="103" t="s">
        <v>202</v>
      </c>
      <c r="BA140" s="103" t="s">
        <v>507</v>
      </c>
      <c r="BB140" s="10">
        <v>232551</v>
      </c>
      <c r="BE140" s="70"/>
      <c r="BF140" s="239"/>
    </row>
    <row r="141" spans="51:58" ht="12.75">
      <c r="AY141" s="103" t="s">
        <v>167</v>
      </c>
      <c r="AZ141" s="103" t="s">
        <v>168</v>
      </c>
      <c r="BA141" s="103" t="s">
        <v>507</v>
      </c>
      <c r="BB141" s="10">
        <v>350958</v>
      </c>
      <c r="BE141" s="70"/>
      <c r="BF141" s="239"/>
    </row>
    <row r="142" spans="51:58" ht="12.75">
      <c r="AY142" s="103" t="s">
        <v>153</v>
      </c>
      <c r="AZ142" s="103" t="s">
        <v>154</v>
      </c>
      <c r="BA142" s="103" t="s">
        <v>326</v>
      </c>
      <c r="BB142" s="10">
        <v>265654</v>
      </c>
      <c r="BE142" s="70"/>
      <c r="BF142" s="241"/>
    </row>
    <row r="143" spans="51:58" ht="12.75">
      <c r="AY143" s="103" t="s">
        <v>181</v>
      </c>
      <c r="AZ143" s="103" t="s">
        <v>182</v>
      </c>
      <c r="BA143" s="103" t="s">
        <v>326</v>
      </c>
      <c r="BB143" s="10">
        <v>284466</v>
      </c>
      <c r="BE143" s="70"/>
      <c r="BF143" s="249"/>
    </row>
    <row r="144" spans="51:58" ht="12.75">
      <c r="AY144" s="103" t="s">
        <v>146</v>
      </c>
      <c r="AZ144" s="103" t="s">
        <v>147</v>
      </c>
      <c r="BA144" s="103" t="s">
        <v>326</v>
      </c>
      <c r="BB144" s="10">
        <v>319933</v>
      </c>
      <c r="BE144" s="70"/>
      <c r="BF144" s="241"/>
    </row>
    <row r="145" spans="51:58" ht="12.75">
      <c r="AY145" s="103" t="s">
        <v>111</v>
      </c>
      <c r="AZ145" s="103" t="s">
        <v>112</v>
      </c>
      <c r="BA145" s="103" t="s">
        <v>326</v>
      </c>
      <c r="BB145" s="10">
        <v>192336</v>
      </c>
      <c r="BE145" s="248"/>
      <c r="BF145" s="249"/>
    </row>
    <row r="146" spans="51:58" ht="12.75">
      <c r="AY146" s="103" t="s">
        <v>237</v>
      </c>
      <c r="AZ146" s="103" t="s">
        <v>238</v>
      </c>
      <c r="BA146" s="103" t="s">
        <v>326</v>
      </c>
      <c r="BB146" s="10">
        <v>548313</v>
      </c>
      <c r="BF146" s="252"/>
    </row>
    <row r="147" spans="51:58" ht="12.75">
      <c r="AY147" s="103" t="s">
        <v>247</v>
      </c>
      <c r="AZ147" s="103" t="s">
        <v>248</v>
      </c>
      <c r="BA147" s="103" t="s">
        <v>326</v>
      </c>
      <c r="BB147" s="10">
        <v>287229</v>
      </c>
      <c r="BF147" s="252"/>
    </row>
    <row r="148" spans="51:58" ht="12.75">
      <c r="AY148" s="103" t="s">
        <v>222</v>
      </c>
      <c r="AZ148" s="103" t="s">
        <v>430</v>
      </c>
      <c r="BA148" s="103" t="s">
        <v>507</v>
      </c>
      <c r="BB148" s="10">
        <v>707573</v>
      </c>
      <c r="BF148" s="252"/>
    </row>
    <row r="149" spans="51:58" ht="12.75">
      <c r="AY149" s="103" t="s">
        <v>218</v>
      </c>
      <c r="AZ149" s="103" t="s">
        <v>219</v>
      </c>
      <c r="BA149" s="103" t="s">
        <v>507</v>
      </c>
      <c r="BB149" s="10">
        <v>825533</v>
      </c>
      <c r="BE149" s="248"/>
      <c r="BF149" s="249"/>
    </row>
    <row r="150" spans="51:58" ht="12.75">
      <c r="AY150" s="103" t="s">
        <v>196</v>
      </c>
      <c r="AZ150" s="103" t="s">
        <v>197</v>
      </c>
      <c r="BA150" s="103" t="s">
        <v>326</v>
      </c>
      <c r="BB150" s="10">
        <v>259945</v>
      </c>
      <c r="BF150" s="252"/>
    </row>
    <row r="151" spans="51:58" ht="12.75">
      <c r="AY151" s="103" t="s">
        <v>138</v>
      </c>
      <c r="AZ151" s="103" t="s">
        <v>139</v>
      </c>
      <c r="BA151" s="103" t="s">
        <v>326</v>
      </c>
      <c r="BB151" s="10">
        <v>246573</v>
      </c>
      <c r="BF151" s="252"/>
    </row>
    <row r="152" spans="51:58" ht="12.75">
      <c r="AY152" s="103" t="s">
        <v>266</v>
      </c>
      <c r="AZ152" s="103" t="s">
        <v>267</v>
      </c>
      <c r="BA152" s="103" t="s">
        <v>507</v>
      </c>
      <c r="BB152" s="10">
        <v>462395</v>
      </c>
      <c r="BE152" s="250"/>
      <c r="BF152" s="239"/>
    </row>
    <row r="153" spans="51:58" ht="12.75">
      <c r="AY153" s="103" t="s">
        <v>191</v>
      </c>
      <c r="AZ153" s="103" t="s">
        <v>192</v>
      </c>
      <c r="BA153" s="103" t="s">
        <v>326</v>
      </c>
      <c r="BB153" s="10">
        <v>332176</v>
      </c>
      <c r="BF153" s="252"/>
    </row>
    <row r="154" spans="51:58" ht="12.75">
      <c r="AY154" s="103" t="s">
        <v>161</v>
      </c>
      <c r="AZ154" s="103" t="s">
        <v>417</v>
      </c>
      <c r="BA154" s="103" t="s">
        <v>326</v>
      </c>
      <c r="BB154" s="10">
        <v>246213</v>
      </c>
      <c r="BE154" s="237"/>
      <c r="BF154" s="238"/>
    </row>
    <row r="155" spans="51:58" ht="12.75">
      <c r="AY155" s="103" t="s">
        <v>235</v>
      </c>
      <c r="AZ155" s="103" t="s">
        <v>236</v>
      </c>
      <c r="BA155" s="103" t="s">
        <v>507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511</v>
      </c>
      <c r="B3" s="56" t="s">
        <v>446</v>
      </c>
      <c r="C3" s="56" t="s">
        <v>24</v>
      </c>
    </row>
    <row r="4" spans="1:2" ht="12.75">
      <c r="A4" s="76">
        <v>1</v>
      </c>
      <c r="B4" s="78" t="s">
        <v>270</v>
      </c>
    </row>
    <row r="5" ht="12.75">
      <c r="A5" s="280" t="s">
        <v>511</v>
      </c>
    </row>
    <row r="6" ht="12.75">
      <c r="A6" s="280" t="s">
        <v>517</v>
      </c>
    </row>
    <row r="7" ht="12.75">
      <c r="A7" s="280" t="s">
        <v>548</v>
      </c>
    </row>
    <row r="8" ht="12.75">
      <c r="A8" s="280" t="s">
        <v>515</v>
      </c>
    </row>
    <row r="9" ht="12.75">
      <c r="A9" s="280" t="s">
        <v>530</v>
      </c>
    </row>
    <row r="10" ht="12.75">
      <c r="A10" s="280" t="s">
        <v>543</v>
      </c>
    </row>
    <row r="11" ht="12.75">
      <c r="A11" s="280" t="s">
        <v>544</v>
      </c>
    </row>
    <row r="12" ht="12.75">
      <c r="A12" s="280" t="s">
        <v>549</v>
      </c>
    </row>
    <row r="13" ht="12.75">
      <c r="A13" s="280" t="s">
        <v>560</v>
      </c>
    </row>
    <row r="14" ht="12.75">
      <c r="A14" s="280" t="s">
        <v>563</v>
      </c>
    </row>
    <row r="15" ht="12.75">
      <c r="A15" s="280" t="s">
        <v>534</v>
      </c>
    </row>
    <row r="16" ht="12.75">
      <c r="A16" s="280" t="s">
        <v>541</v>
      </c>
    </row>
    <row r="17" ht="12.75">
      <c r="A17" s="280" t="s">
        <v>525</v>
      </c>
    </row>
    <row r="18" ht="12.75">
      <c r="A18" s="280" t="s">
        <v>545</v>
      </c>
    </row>
    <row r="19" ht="12.75">
      <c r="A19" s="280" t="s">
        <v>518</v>
      </c>
    </row>
    <row r="20" ht="12.75">
      <c r="A20" s="280" t="s">
        <v>528</v>
      </c>
    </row>
    <row r="21" ht="12.75">
      <c r="A21" s="280" t="s">
        <v>526</v>
      </c>
    </row>
    <row r="22" ht="12.75">
      <c r="A22" s="280" t="s">
        <v>539</v>
      </c>
    </row>
    <row r="23" ht="12.75">
      <c r="A23" s="280" t="s">
        <v>531</v>
      </c>
    </row>
    <row r="24" ht="12.75">
      <c r="A24" s="280" t="s">
        <v>537</v>
      </c>
    </row>
    <row r="25" ht="12.75">
      <c r="A25" s="280" t="s">
        <v>538</v>
      </c>
    </row>
    <row r="26" ht="12.75">
      <c r="A26" s="280" t="s">
        <v>536</v>
      </c>
    </row>
    <row r="27" ht="12.75">
      <c r="A27" s="280" t="s">
        <v>522</v>
      </c>
    </row>
    <row r="28" ht="12.75">
      <c r="A28" s="280" t="s">
        <v>521</v>
      </c>
    </row>
    <row r="29" ht="12.75">
      <c r="A29" s="280" t="s">
        <v>514</v>
      </c>
    </row>
    <row r="30" ht="12.75">
      <c r="A30" s="280" t="s">
        <v>512</v>
      </c>
    </row>
    <row r="31" ht="12.75">
      <c r="A31" s="280" t="s">
        <v>535</v>
      </c>
    </row>
    <row r="32" ht="12.75">
      <c r="A32" s="280" t="s">
        <v>547</v>
      </c>
    </row>
    <row r="33" ht="12.75">
      <c r="A33" s="280" t="s">
        <v>532</v>
      </c>
    </row>
    <row r="34" ht="12.75">
      <c r="A34" s="280" t="s">
        <v>533</v>
      </c>
    </row>
    <row r="35" ht="12.75">
      <c r="A35" s="280" t="s">
        <v>540</v>
      </c>
    </row>
    <row r="36" ht="12.75">
      <c r="A36" s="280" t="s">
        <v>519</v>
      </c>
    </row>
    <row r="37" ht="12.75">
      <c r="A37" s="280" t="s">
        <v>513</v>
      </c>
    </row>
    <row r="38" ht="12.75">
      <c r="A38" s="280" t="s">
        <v>562</v>
      </c>
    </row>
    <row r="39" ht="12.75">
      <c r="A39" s="280" t="s">
        <v>542</v>
      </c>
    </row>
    <row r="40" ht="12.75">
      <c r="A40" s="280" t="s">
        <v>523</v>
      </c>
    </row>
    <row r="41" ht="12.75">
      <c r="A41" s="280" t="s">
        <v>527</v>
      </c>
    </row>
    <row r="42" ht="12.75">
      <c r="A42" s="280" t="s">
        <v>561</v>
      </c>
    </row>
    <row r="43" ht="12.75">
      <c r="A43" s="280" t="s">
        <v>520</v>
      </c>
    </row>
    <row r="44" ht="12.75">
      <c r="A44" s="280" t="s">
        <v>524</v>
      </c>
    </row>
    <row r="45" ht="12.75">
      <c r="A45" s="280" t="s">
        <v>529</v>
      </c>
    </row>
    <row r="46" ht="12.75">
      <c r="A46" s="280" t="s">
        <v>516</v>
      </c>
    </row>
    <row r="47" ht="12.75">
      <c r="A47" s="280" t="s">
        <v>546</v>
      </c>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