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<sst xmlns="http://schemas.openxmlformats.org/spreadsheetml/2006/main" count="2422" uniqueCount="980">
  <si>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</si>
  <si>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</si>
  <si>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</si>
  <si>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</si>
  <si>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</si>
  <si>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</si>
  <si>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</si>
  <si>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</si>
  <si>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</si>
  <si>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</si>
  <si>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</si>
  <si>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</si>
  <si>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</si>
  <si>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</si>
  <si>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</si>
  <si>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</si>
  <si>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</si>
  <si>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</si>
  <si>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</si>
  <si>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</si>
  <si>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</si>
  <si>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</si>
  <si>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</si>
  <si>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</si>
  <si>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</si>
  <si>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</si>
  <si>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</si>
  <si>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</si>
  <si>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</si>
  <si>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</si>
  <si>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</si>
  <si>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</si>
  <si>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</si>
  <si>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</si>
  <si>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</si>
  <si>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</si>
  <si>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</si>
  <si>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</si>
  <si>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</si>
  <si>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</si>
  <si>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</si>
  <si>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</si>
  <si>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</si>
  <si>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</si>
  <si>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</si>
  <si>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</si>
  <si>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</si>
  <si>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</si>
  <si>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</si>
  <si>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</si>
  <si>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</si>
  <si>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</si>
  <si>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</si>
  <si>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</si>
  <si>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</si>
  <si>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</si>
  <si>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</si>
  <si>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L83002</t>
  </si>
  <si>
    <t>L83003</t>
  </si>
  <si>
    <t>L83006</t>
  </si>
  <si>
    <t>L83007</t>
  </si>
  <si>
    <t>L83008</t>
  </si>
  <si>
    <t>L83009</t>
  </si>
  <si>
    <t>L83011</t>
  </si>
  <si>
    <t>L83012</t>
  </si>
  <si>
    <t>L83015</t>
  </si>
  <si>
    <t>L83016</t>
  </si>
  <si>
    <t>L83017</t>
  </si>
  <si>
    <t>L83018</t>
  </si>
  <si>
    <t>L83019</t>
  </si>
  <si>
    <t>L83020</t>
  </si>
  <si>
    <t>L83021</t>
  </si>
  <si>
    <t>L83023</t>
  </si>
  <si>
    <t>L83024</t>
  </si>
  <si>
    <t>L83025</t>
  </si>
  <si>
    <t>L83026</t>
  </si>
  <si>
    <t>L83028</t>
  </si>
  <si>
    <t>L83030</t>
  </si>
  <si>
    <t>L83035</t>
  </si>
  <si>
    <t>L83036</t>
  </si>
  <si>
    <t>L83037</t>
  </si>
  <si>
    <t>L83038</t>
  </si>
  <si>
    <t>L83039</t>
  </si>
  <si>
    <t>L83040</t>
  </si>
  <si>
    <t>L83041</t>
  </si>
  <si>
    <t>L83042</t>
  </si>
  <si>
    <t>L83044</t>
  </si>
  <si>
    <t>L83047</t>
  </si>
  <si>
    <t>L83048</t>
  </si>
  <si>
    <t>L83049</t>
  </si>
  <si>
    <t>L83050</t>
  </si>
  <si>
    <t>L83052</t>
  </si>
  <si>
    <t>L83053</t>
  </si>
  <si>
    <t>L83054</t>
  </si>
  <si>
    <t>L83056</t>
  </si>
  <si>
    <t>L83057</t>
  </si>
  <si>
    <t>L83058</t>
  </si>
  <si>
    <t>L83059</t>
  </si>
  <si>
    <t>L83061</t>
  </si>
  <si>
    <t>L83064</t>
  </si>
  <si>
    <t>L83065</t>
  </si>
  <si>
    <t>L83066</t>
  </si>
  <si>
    <t>L83067</t>
  </si>
  <si>
    <t>L83068</t>
  </si>
  <si>
    <t>L83069</t>
  </si>
  <si>
    <t>L83071</t>
  </si>
  <si>
    <t>L83072</t>
  </si>
  <si>
    <t>L83073</t>
  </si>
  <si>
    <t>L83074</t>
  </si>
  <si>
    <t>L83075</t>
  </si>
  <si>
    <t>L83076</t>
  </si>
  <si>
    <t>L83077</t>
  </si>
  <si>
    <t>L83079</t>
  </si>
  <si>
    <t>L83080</t>
  </si>
  <si>
    <t>L83081</t>
  </si>
  <si>
    <t>L83082</t>
  </si>
  <si>
    <t>L83083</t>
  </si>
  <si>
    <t>L83084</t>
  </si>
  <si>
    <t>L83085</t>
  </si>
  <si>
    <t>L83086</t>
  </si>
  <si>
    <t>L83087</t>
  </si>
  <si>
    <t>L83088</t>
  </si>
  <si>
    <t>L83089</t>
  </si>
  <si>
    <t>L83092</t>
  </si>
  <si>
    <t>L83093</t>
  </si>
  <si>
    <t>L83095</t>
  </si>
  <si>
    <t>L83096</t>
  </si>
  <si>
    <t>L83097</t>
  </si>
  <si>
    <t>L83098</t>
  </si>
  <si>
    <t>L83099</t>
  </si>
  <si>
    <t>L83100</t>
  </si>
  <si>
    <t>L83102</t>
  </si>
  <si>
    <t>L83105</t>
  </si>
  <si>
    <t>L83106</t>
  </si>
  <si>
    <t>L83107</t>
  </si>
  <si>
    <t>L83109</t>
  </si>
  <si>
    <t>L83112</t>
  </si>
  <si>
    <t>L83113</t>
  </si>
  <si>
    <t>L83115</t>
  </si>
  <si>
    <t>L83116</t>
  </si>
  <si>
    <t>L83121</t>
  </si>
  <si>
    <t>L83123</t>
  </si>
  <si>
    <t>L83125</t>
  </si>
  <si>
    <t>L83127</t>
  </si>
  <si>
    <t>L83128</t>
  </si>
  <si>
    <t>L83129</t>
  </si>
  <si>
    <t>L83132</t>
  </si>
  <si>
    <t>L83133</t>
  </si>
  <si>
    <t>L83134</t>
  </si>
  <si>
    <t>L83136</t>
  </si>
  <si>
    <t>L83137</t>
  </si>
  <si>
    <t>L83138</t>
  </si>
  <si>
    <t>L83139</t>
  </si>
  <si>
    <t>L83143</t>
  </si>
  <si>
    <t>L83144</t>
  </si>
  <si>
    <t>L83147</t>
  </si>
  <si>
    <t>L83148</t>
  </si>
  <si>
    <t>L83608</t>
  </si>
  <si>
    <t>L83613</t>
  </si>
  <si>
    <t>L83616</t>
  </si>
  <si>
    <t>L83624</t>
  </si>
  <si>
    <t>L83626</t>
  </si>
  <si>
    <t>L83627</t>
  </si>
  <si>
    <t>L83628</t>
  </si>
  <si>
    <t>L83633</t>
  </si>
  <si>
    <t>L83639</t>
  </si>
  <si>
    <t>L83642</t>
  </si>
  <si>
    <t>L83643</t>
  </si>
  <si>
    <t>L83644</t>
  </si>
  <si>
    <t>L83646</t>
  </si>
  <si>
    <t>L83647</t>
  </si>
  <si>
    <t>L83648</t>
  </si>
  <si>
    <t>L83651</t>
  </si>
  <si>
    <t>L83655</t>
  </si>
  <si>
    <t>L83658</t>
  </si>
  <si>
    <t>L83661</t>
  </si>
  <si>
    <t>L83663</t>
  </si>
  <si>
    <t>L83664</t>
  </si>
  <si>
    <t>Y00304</t>
  </si>
  <si>
    <t>Y00568</t>
  </si>
  <si>
    <t>Y02121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</si>
  <si>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</si>
  <si>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</si>
  <si>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</si>
  <si>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</si>
  <si>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</si>
  <si>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</si>
  <si>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</si>
  <si>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</si>
  <si>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</si>
  <si>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</si>
  <si>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</si>
  <si>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</si>
  <si>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</si>
  <si>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</si>
  <si>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</si>
  <si>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</si>
  <si>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</si>
  <si>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</si>
  <si>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</si>
  <si>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</si>
  <si>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</si>
  <si>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</si>
  <si>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</si>
  <si>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</si>
  <si>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</si>
  <si>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</si>
  <si>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</si>
  <si>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</si>
  <si>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</si>
  <si>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</si>
  <si>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</si>
  <si>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</si>
  <si>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</si>
  <si>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</si>
  <si>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</si>
  <si>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</si>
  <si>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</si>
  <si>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</si>
  <si>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</si>
  <si>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</si>
  <si>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</si>
  <si>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</si>
  <si>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</si>
  <si>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</si>
  <si>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</si>
  <si>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</si>
  <si>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</si>
  <si>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</si>
  <si>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</si>
  <si>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</si>
  <si>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</si>
  <si>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</si>
  <si>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</si>
  <si>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</si>
  <si>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</si>
  <si>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</si>
  <si>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</si>
  <si>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</si>
  <si>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</si>
  <si>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</si>
  <si>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</si>
  <si>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</si>
  <si>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</si>
  <si>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</si>
  <si>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</si>
  <si>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</si>
  <si>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</si>
  <si>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</si>
  <si>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</si>
  <si>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</si>
  <si>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</si>
  <si>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</si>
  <si>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</si>
  <si>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</si>
  <si>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</si>
  <si>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</si>
  <si>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</si>
  <si>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</si>
  <si>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</si>
  <si>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</si>
  <si>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</si>
  <si>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</si>
  <si>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</si>
  <si>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</si>
  <si>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</si>
  <si>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</si>
  <si>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</si>
  <si>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</si>
  <si>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</si>
  <si>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</si>
  <si>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</si>
  <si>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</si>
  <si>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</si>
  <si>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</si>
  <si>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Y02633</t>
  </si>
  <si>
    <t>(L83006) ERNESETTLE PRIMARY CARE CENTRE</t>
  </si>
  <si>
    <t>(L83008) PATHFIELDS PRACTICE</t>
  </si>
  <si>
    <t>(L83009) BAMPTON SURGERY</t>
  </si>
  <si>
    <t>(L83011) BUDLEIGH SALTERTON MEDICAL PRACTICE</t>
  </si>
  <si>
    <t>(L83012) BRADWORTHY SURGERY</t>
  </si>
  <si>
    <t>(L83015) OAKSIDE SURGERY</t>
  </si>
  <si>
    <t>(L83017) WATERSIDE PRACTICE</t>
  </si>
  <si>
    <t>(L83018) BEAUMONT VILLA SURGERY</t>
  </si>
  <si>
    <t>(L83019) ELM SURGERY</t>
  </si>
  <si>
    <t>(L83020) AXMINSTER MEDICAL PRACTICE</t>
  </si>
  <si>
    <t>(L83021) DEAN CROSS SURGERY</t>
  </si>
  <si>
    <t>(L83024) BARNFIELD HILL SURGERY</t>
  </si>
  <si>
    <t>(L83025) WALLINGBROOK HEALTH CENTRE</t>
  </si>
  <si>
    <t>(L83026) TORRINGTON HEALTH CENTRE</t>
  </si>
  <si>
    <t>(L83030) NORTH ROAD WEST MEDICAL CENTRE</t>
  </si>
  <si>
    <t>(L83035) LITCHDON MEDICAL CENTRE</t>
  </si>
  <si>
    <t>(L83036) TOPSHAM SURGERY</t>
  </si>
  <si>
    <t>(L83037) CHARD ROAD SURGERY</t>
  </si>
  <si>
    <t>(L83039) SOUTHWAY SURGERY</t>
  </si>
  <si>
    <t>(L83040) PINHOE SURGERY</t>
  </si>
  <si>
    <t>(L83041) WESTBANK PRACTICE</t>
  </si>
  <si>
    <t>(L83047) EAST STREET SURGERY</t>
  </si>
  <si>
    <t>(L83048) ROBOROUGH SURGERY</t>
  </si>
  <si>
    <t>(L83049) MORETONHAMPSTEAD HEALTH CENTRE</t>
  </si>
  <si>
    <t>(L83050) NORTHAM SURGERY</t>
  </si>
  <si>
    <t>(L83052) CASTLE PLACE PRACTICE</t>
  </si>
  <si>
    <t>(L83053) ROLLE MEDICAL PARTNERSHIP</t>
  </si>
  <si>
    <t>(L83054) TOWNSEND HOUSE MEDICAL CENTRE</t>
  </si>
  <si>
    <t>(L83056) CLAREMONT MEDICAL PRACTICE</t>
  </si>
  <si>
    <t>(L83057) FREMINGTON MEDICAL CENTRE</t>
  </si>
  <si>
    <t>(L83058) SOUTHERNHAY HOUSE SURGERY</t>
  </si>
  <si>
    <t>(L83059) NORTON BROOK MEDICAL CENTRE</t>
  </si>
  <si>
    <t>(L83061) THE MANNAMEAD SURGERY</t>
  </si>
  <si>
    <t>(L83064) CHURCH VIEW SURGERY</t>
  </si>
  <si>
    <t>(L83065) CHIDDENBROOK SURGERY</t>
  </si>
  <si>
    <t>(L83067) SID VALLEY PRACTICE</t>
  </si>
  <si>
    <t>(L83068) LYNTON HEALTH CENTRE</t>
  </si>
  <si>
    <t>(L83069) HOLSWORTHY MEDICAL CENTRE</t>
  </si>
  <si>
    <t>(L83071) STOKE SURGERY</t>
  </si>
  <si>
    <t>(L83072) FRIARY HOUSE SURGERY</t>
  </si>
  <si>
    <t>(L83073) BRANNAMS MEDICAL CENTRE</t>
  </si>
  <si>
    <t>(L83075) SOUTH BRENT HEALTH CENTRE</t>
  </si>
  <si>
    <t>(L83076) WYCLIFFE SURGERY</t>
  </si>
  <si>
    <t>(L83079) IDE LANE SURGERY</t>
  </si>
  <si>
    <t>(L83080) ARMADA SURGERY</t>
  </si>
  <si>
    <t>(L83081) YEALM MEDICAL CENTRE</t>
  </si>
  <si>
    <t>(L83082) CHAGFORD HEALTH CENTRE</t>
  </si>
  <si>
    <t>(L83083) BIDEFORD MEDICAL CENTRE</t>
  </si>
  <si>
    <t>(L83085) CLARE HOUSE</t>
  </si>
  <si>
    <t>(L83086) MODBURY HEALTH CENTRE</t>
  </si>
  <si>
    <t>(L83087) OKEHAMPTON MEDICAL CENTRE</t>
  </si>
  <si>
    <t>(L83088) REDFERN HEALTH CENTRE</t>
  </si>
  <si>
    <t>(L83089) KNOWLE HOUSE SURGERY</t>
  </si>
  <si>
    <t>(L83092) COLLEGE SURGERY PARTNERSHIP</t>
  </si>
  <si>
    <t>(L83093) THE RIDGEWAY PRACTICE</t>
  </si>
  <si>
    <t>(L83096) WARWICK PRACTICE</t>
  </si>
  <si>
    <t>(L83097) CAEN MEDICAL CENTRE</t>
  </si>
  <si>
    <t>(L83098) CHERITON BISHOP SURGERY</t>
  </si>
  <si>
    <t>(L83100) IVYBRIDGE HEALTH CENTRE</t>
  </si>
  <si>
    <t>(L83102) YELVERTON SURGERY</t>
  </si>
  <si>
    <t>(L83105) CASTLE GARDENS SURGERY</t>
  </si>
  <si>
    <t>(L83107) CROWNHILL SURGERY</t>
  </si>
  <si>
    <t>(L83109) SUTHERLAND ROAD SURGERY</t>
  </si>
  <si>
    <t>(L83112) WEST HOE SURGERY</t>
  </si>
  <si>
    <t>(L83116) WOODBURY SURGERY</t>
  </si>
  <si>
    <t>(L83121) SHEBBEAR SURGERY</t>
  </si>
  <si>
    <t>(L83123) TOTHILL SURGERY</t>
  </si>
  <si>
    <t>(L83125) BARTON SURGERY</t>
  </si>
  <si>
    <t>(L83127) NEWCOMBES SURGERY</t>
  </si>
  <si>
    <t>(L83128) BRAMBLEHAIES SURGERY</t>
  </si>
  <si>
    <t>(L83129) HARTLAND SURGERY</t>
  </si>
  <si>
    <t>(L83132) COLLINGS PARK MEDICAL CENTRE</t>
  </si>
  <si>
    <t>(L83133) PLYM RIVER PRACTICE</t>
  </si>
  <si>
    <t>(L83134) WYNDHAM HOUSE SURGERY</t>
  </si>
  <si>
    <t>(L83136) HALDON HOUSE SURGERY</t>
  </si>
  <si>
    <t>(L83137) SOUTH MOLTON HEALTH CENTRE</t>
  </si>
  <si>
    <t>(L83138) GLENSIDE MEDICAL CENTRE</t>
  </si>
  <si>
    <t>(L83139) BOUTPORT MEDICAL CENTRE</t>
  </si>
  <si>
    <t>(L83143) HILL BARTON SURGERY</t>
  </si>
  <si>
    <t>(L83144) LEYPARK SURGERY</t>
  </si>
  <si>
    <t>(L83148) CHILLINGTON HEALTH CENTRE</t>
  </si>
  <si>
    <t>(L83608) LIFTON SURGERY</t>
  </si>
  <si>
    <t>(L83613) EXE VALLEY PRACTICE</t>
  </si>
  <si>
    <t>(L83616) SAMPFORD PEVERELL SURGERY</t>
  </si>
  <si>
    <t>(L83624) MARLBOROUGH ST SURGERY</t>
  </si>
  <si>
    <t>(L83626) SALTASH ROAD SURGERY</t>
  </si>
  <si>
    <t>(L83627) RALEIGH SURGERY</t>
  </si>
  <si>
    <t>(L83628) IMPERIAL SURGERY</t>
  </si>
  <si>
    <t>(L83639) WEMBURY SURGERY</t>
  </si>
  <si>
    <t>(L83642) ESTOVER SURGERY</t>
  </si>
  <si>
    <t>(L83643) FREEDOM HEALTH CENTRE</t>
  </si>
  <si>
    <t>(L83644) HIGHLANDS HEALTH CENTRE</t>
  </si>
  <si>
    <t>(L83647) HATHERLEIGH MEDICAL CENTRE</t>
  </si>
  <si>
    <t>(L83648) PEVERELL PARK SURGERY</t>
  </si>
  <si>
    <t>(L83651) ADELAIDE STREET SURGERY</t>
  </si>
  <si>
    <t>(L83655) WONFORD GREEN SURGERY</t>
  </si>
  <si>
    <t>(L83658) HYDE PARK SURGERY</t>
  </si>
  <si>
    <t>(L83661) CHAPEL PLATT SURGERY</t>
  </si>
  <si>
    <t>(L83663) BLACK TORRINGTON SURGERY</t>
  </si>
  <si>
    <t>(Y00304) OKEMENT PRIMARY CARE CENTRE</t>
  </si>
  <si>
    <t>(Y02633) BOW SURGERY</t>
  </si>
  <si>
    <t>ADS</t>
  </si>
  <si>
    <t xml:space="preserve"> n/a</t>
  </si>
  <si>
    <t>1</t>
  </si>
  <si>
    <t>Statistical signifcance key</t>
  </si>
  <si>
    <t>Upper scale</t>
  </si>
  <si>
    <t>Lower scale</t>
  </si>
  <si>
    <t>00K</t>
  </si>
  <si>
    <t>00M</t>
  </si>
  <si>
    <t>01H</t>
  </si>
  <si>
    <t>11E</t>
  </si>
  <si>
    <t>11H</t>
  </si>
  <si>
    <t>11T</t>
  </si>
  <si>
    <t>12A</t>
  </si>
  <si>
    <t>11N</t>
  </si>
  <si>
    <t>(L83002) HONITON SURGERY</t>
  </si>
  <si>
    <t>99P</t>
  </si>
  <si>
    <t>99Q</t>
  </si>
  <si>
    <t>(L83016) ST.THOMAS HEALTH CENTRE</t>
  </si>
  <si>
    <t>(L83023) SCHOOL SURGERY</t>
  </si>
  <si>
    <t>(L83028) ST NEOTS SURGERY</t>
  </si>
  <si>
    <t>(L83038) STANNARY SURGERY</t>
  </si>
  <si>
    <t>(L83044) THE BLACKDOWN PRACTICE</t>
  </si>
  <si>
    <t>(L83066) MOUNT PLEASANT HEALTH CENTRE - MCFADYEN</t>
  </si>
  <si>
    <t>(L83074) ST.BUDEAUX HEALTH CENTRE</t>
  </si>
  <si>
    <t>(L83077) THE HEAVITREE PRACTICE</t>
  </si>
  <si>
    <t>(L83084) THE SOUTH LAWN MED PRACTICE</t>
  </si>
  <si>
    <t>(L83095) THE COLERIDGE MEDICAL CENTRE</t>
  </si>
  <si>
    <t>(L83099) CHARTERS SURGERY</t>
  </si>
  <si>
    <t>(L83101) ABBEY SURGERY</t>
  </si>
  <si>
    <t>L83101</t>
  </si>
  <si>
    <t>(L83106) THE WOODA SURGERY</t>
  </si>
  <si>
    <t>(L83113) BUDSHEAD HEALTH CENTRE</t>
  </si>
  <si>
    <t>(L83115) THE WHIPTON SURGERY</t>
  </si>
  <si>
    <t>(L83147) LISSON GROVE MEDICAL 64 TWICKENHAM DRIVE</t>
  </si>
  <si>
    <t>(L83633) DEVONSHIRE HOUSE</t>
  </si>
  <si>
    <t>(L83646) WATERLOO SURGERY</t>
  </si>
  <si>
    <t>(L83664) ST.BARNABAS SURGERY</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</si>
  <si>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</si>
  <si>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</si>
  <si>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</si>
  <si>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</si>
  <si>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</si>
  <si>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</si>
  <si>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</si>
  <si>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</si>
  <si>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</si>
  <si>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</si>
  <si>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</si>
  <si>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</si>
  <si>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</si>
  <si>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</si>
  <si>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</si>
  <si>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</si>
  <si>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</si>
  <si>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</si>
  <si>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</si>
  <si>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</si>
  <si>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</si>
  <si>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</si>
  <si>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</si>
  <si>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</si>
  <si>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</si>
  <si>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</si>
  <si>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</si>
  <si>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</si>
  <si>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</si>
  <si>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</si>
  <si>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</si>
  <si>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</si>
  <si>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</si>
  <si>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</si>
  <si>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</si>
  <si>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</si>
  <si>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</si>
  <si>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</si>
  <si>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</si>
  <si>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</si>
  <si>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</si>
  <si>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</si>
  <si>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</si>
  <si>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</si>
  <si>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</si>
  <si>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</si>
  <si>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</si>
  <si>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</si>
  <si>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</si>
  <si>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</si>
  <si>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</si>
  <si>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</si>
  <si>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</si>
  <si>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</si>
  <si>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</si>
  <si>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</si>
  <si>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</si>
  <si>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</si>
  <si>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</si>
  <si>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</si>
  <si>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</si>
  <si>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</si>
  <si>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</si>
  <si>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</si>
  <si>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</si>
  <si>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</si>
  <si>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</si>
  <si>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</si>
  <si>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</si>
  <si>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</si>
  <si>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</si>
  <si>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</si>
  <si>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</si>
  <si>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</si>
  <si>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</si>
  <si>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</si>
  <si>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</si>
  <si>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</si>
  <si>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</si>
  <si>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</si>
  <si>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</si>
  <si>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</si>
  <si>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</si>
  <si>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</si>
  <si>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</si>
  <si>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</si>
  <si>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</si>
  <si>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</si>
  <si>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</si>
  <si>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</si>
  <si>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</si>
  <si>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</si>
  <si>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</si>
  <si>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</si>
  <si>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(Y00568) THE FOXHAYES PRACTICE</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</si>
  <si>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</si>
  <si>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</si>
  <si>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</si>
  <si>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</si>
  <si>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</si>
  <si>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</si>
  <si>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</si>
  <si>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</si>
  <si>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</si>
  <si>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</si>
  <si>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</si>
  <si>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</si>
  <si>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</si>
  <si>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</si>
  <si>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</si>
  <si>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</si>
  <si>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</si>
  <si>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</si>
  <si>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</si>
  <si>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</si>
  <si>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</si>
  <si>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</si>
  <si>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</si>
  <si>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</si>
  <si>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</si>
  <si>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</si>
  <si>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</si>
  <si>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</si>
  <si>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</si>
  <si>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</si>
  <si>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</si>
  <si>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</si>
  <si>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</si>
  <si>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</si>
  <si>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</si>
  <si>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</si>
  <si>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</si>
  <si>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</si>
  <si>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</si>
  <si>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</si>
  <si>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</si>
  <si>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</si>
  <si>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</si>
  <si>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</si>
  <si>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</si>
  <si>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</si>
  <si>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</si>
  <si>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</si>
  <si>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</si>
  <si>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</si>
  <si>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</si>
  <si>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</si>
  <si>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</si>
  <si>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</si>
  <si>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</si>
  <si>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</si>
  <si>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</si>
  <si>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</si>
  <si>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</si>
  <si>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</si>
  <si>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</si>
  <si>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</si>
  <si>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</si>
  <si>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</si>
  <si>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</si>
  <si>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</si>
  <si>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</si>
  <si>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</si>
  <si>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</si>
  <si>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</si>
  <si>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</si>
  <si>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</si>
  <si>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</si>
  <si>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</si>
  <si>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</si>
  <si>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</si>
  <si>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</si>
  <si>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</si>
  <si>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</si>
  <si>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</si>
  <si>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</si>
  <si>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</si>
  <si>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</si>
  <si>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</si>
  <si>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</si>
  <si>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</si>
  <si>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</si>
  <si>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</si>
  <si>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</si>
  <si>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</si>
  <si>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</si>
  <si>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</si>
  <si>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</si>
  <si>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</si>
  <si>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</si>
  <si>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</si>
  <si>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</si>
  <si>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</si>
  <si>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</si>
  <si>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</si>
  <si>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</si>
  <si>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</si>
  <si>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</si>
  <si>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</si>
  <si>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</si>
  <si>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</si>
  <si>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</si>
  <si>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</si>
  <si>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</si>
  <si>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</si>
  <si>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</si>
  <si>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</si>
  <si>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</si>
  <si>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</si>
  <si>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0.2</t>
  </si>
  <si>
    <t>0.785714</t>
  </si>
  <si>
    <t>61.6589</t>
  </si>
  <si>
    <t>0.0302492</t>
  </si>
  <si>
    <t>0.148231</t>
  </si>
  <si>
    <t>91.7192</t>
  </si>
  <si>
    <t>0.25</t>
  </si>
  <si>
    <t>0.06</t>
  </si>
  <si>
    <t>0.09</t>
  </si>
  <si>
    <t>0.761905</t>
  </si>
  <si>
    <t>0.11</t>
  </si>
  <si>
    <t>0.189189189</t>
  </si>
  <si>
    <t>0.5</t>
  </si>
  <si>
    <t>0.34</t>
  </si>
  <si>
    <t>0.0211</t>
  </si>
  <si>
    <t>0.0178</t>
  </si>
  <si>
    <t>0.566509434</t>
  </si>
  <si>
    <t>0.52381</t>
  </si>
  <si>
    <t>0.433333</t>
  </si>
  <si>
    <t>0.282051</t>
  </si>
  <si>
    <t>0.0064</t>
  </si>
  <si>
    <t>0.059668924</t>
  </si>
  <si>
    <t>170.2932829</t>
  </si>
  <si>
    <t>0.533937</t>
  </si>
  <si>
    <t>0.645199</t>
  </si>
  <si>
    <t>0.390511</t>
  </si>
  <si>
    <t>0.355705</t>
  </si>
  <si>
    <t>1057.444984</t>
  </si>
  <si>
    <t>0.5265</t>
  </si>
  <si>
    <t>189.215</t>
  </si>
  <si>
    <t>85.6604</t>
  </si>
  <si>
    <t>257.216</t>
  </si>
  <si>
    <t>191.192</t>
  </si>
  <si>
    <t>0.16200478</t>
  </si>
  <si>
    <t>486.8162146</t>
  </si>
  <si>
    <t>234.6815661</t>
  </si>
  <si>
    <t>0.71690125</t>
  </si>
  <si>
    <t>0.54021025</t>
  </si>
  <si>
    <t>0.7594235</t>
  </si>
  <si>
    <t>0.577516</t>
  </si>
  <si>
    <t>0.56475725</t>
  </si>
  <si>
    <t>2090.164666</t>
  </si>
  <si>
    <t>0.093313276</t>
  </si>
  <si>
    <t>0.437714041</t>
  </si>
  <si>
    <t>359.8683632</t>
  </si>
  <si>
    <t>337.9905405</t>
  </si>
  <si>
    <t>54.35933978</t>
  </si>
  <si>
    <t>298.3980563</t>
  </si>
  <si>
    <t>604.4551563</t>
  </si>
  <si>
    <t>141.6447785</t>
  </si>
  <si>
    <t>690.5021493</t>
  </si>
  <si>
    <t>486.5168227</t>
  </si>
  <si>
    <t>0.157894737</t>
  </si>
  <si>
    <t>0.460171386</t>
  </si>
  <si>
    <t>0.213709595</t>
  </si>
  <si>
    <t>582.4813421</t>
  </si>
  <si>
    <t>282.9549152</t>
  </si>
  <si>
    <t>0.7718645</t>
  </si>
  <si>
    <t>0.709532</t>
  </si>
  <si>
    <t>0.787341</t>
  </si>
  <si>
    <t>0.617142</t>
  </si>
  <si>
    <t>0.6088915</t>
  </si>
  <si>
    <t>2543.126815</t>
  </si>
  <si>
    <t>0.112324766</t>
  </si>
  <si>
    <t>447.0235257</t>
  </si>
  <si>
    <t>445.3274587</t>
  </si>
  <si>
    <t>83.60412973</t>
  </si>
  <si>
    <t>418.5375286</t>
  </si>
  <si>
    <t>749.6342142</t>
  </si>
  <si>
    <t>303.1088645</t>
  </si>
  <si>
    <t>882.8821868</t>
  </si>
  <si>
    <t>595.5992385</t>
  </si>
  <si>
    <t>0.218465909</t>
  </si>
  <si>
    <t>0.515165441</t>
  </si>
  <si>
    <t>0.24570997</t>
  </si>
  <si>
    <t>711.3636908</t>
  </si>
  <si>
    <t>342.5429493</t>
  </si>
  <si>
    <t>0.0248</t>
  </si>
  <si>
    <t>0.8110615</t>
  </si>
  <si>
    <t>0.78787775</t>
  </si>
  <si>
    <t>0.80844625</t>
  </si>
  <si>
    <t>0.65832625</t>
  </si>
  <si>
    <t>0.6429005</t>
  </si>
  <si>
    <t>3038.037904</t>
  </si>
  <si>
    <t>0.137551669</t>
  </si>
  <si>
    <t>529.1514971</t>
  </si>
  <si>
    <t>569.6894613</t>
  </si>
  <si>
    <t>114.9813942</t>
  </si>
  <si>
    <t>644.83793</t>
  </si>
  <si>
    <t>902.1671146</t>
  </si>
  <si>
    <t>430.6795922</t>
  </si>
  <si>
    <t>1065.965517</t>
  </si>
  <si>
    <t>740.9144173</t>
  </si>
  <si>
    <t>0.270119225</t>
  </si>
  <si>
    <t>0.574107143</t>
  </si>
  <si>
    <t>0.331395349</t>
  </si>
  <si>
    <t>0.396630078</t>
  </si>
  <si>
    <t>1048.731035</t>
  </si>
  <si>
    <t>538.4615385</t>
  </si>
  <si>
    <t>0.044</t>
  </si>
  <si>
    <t>0.878338</t>
  </si>
  <si>
    <t>0.897872</t>
  </si>
  <si>
    <t>0.752969</t>
  </si>
  <si>
    <t>0.799065</t>
  </si>
  <si>
    <t>5421.103582</t>
  </si>
  <si>
    <t>2.7065</t>
  </si>
  <si>
    <t>974.3589744</t>
  </si>
  <si>
    <t>1028.277635</t>
  </si>
  <si>
    <t>235.8119792</t>
  </si>
  <si>
    <t>1413.359148</t>
  </si>
  <si>
    <t>1312.335958</t>
  </si>
  <si>
    <t>1101.321586</t>
  </si>
  <si>
    <t>1713.796058</t>
  </si>
  <si>
    <t>1249.290176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</si>
  <si>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</si>
  <si>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</si>
  <si>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</si>
  <si>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</si>
  <si>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</si>
  <si>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</si>
  <si>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</si>
  <si>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</si>
  <si>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</si>
  <si>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</si>
  <si>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</si>
  <si>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</si>
  <si>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</si>
  <si>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</si>
  <si>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</si>
  <si>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</si>
  <si>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</si>
  <si>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</si>
  <si>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</si>
  <si>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</si>
  <si>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</si>
  <si>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</si>
  <si>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</si>
  <si>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</si>
  <si>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</si>
  <si>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</si>
  <si>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</si>
  <si>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</si>
  <si>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</si>
  <si>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</si>
  <si>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</si>
  <si>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</si>
  <si>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</si>
  <si>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</si>
  <si>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</si>
  <si>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</si>
  <si>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</si>
  <si>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</si>
  <si>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</si>
  <si>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</si>
  <si>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</si>
  <si>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</si>
  <si>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</si>
  <si>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</si>
  <si>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</si>
  <si>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</si>
  <si>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</si>
  <si>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</si>
  <si>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</si>
  <si>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</si>
  <si>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</si>
  <si>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</si>
  <si>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</si>
  <si>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</si>
  <si>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</si>
  <si>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</si>
  <si>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</si>
  <si>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</si>
  <si>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</si>
  <si>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</si>
  <si>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</si>
  <si>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</si>
  <si>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</si>
  <si>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</si>
  <si>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</si>
  <si>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</si>
  <si>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</si>
  <si>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</si>
  <si>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</si>
  <si>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</si>
  <si>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</si>
  <si>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</si>
  <si>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</si>
  <si>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</si>
  <si>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</si>
  <si>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</si>
  <si>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</si>
  <si>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</si>
  <si>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</si>
  <si>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</si>
  <si>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</si>
  <si>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</si>
  <si>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</si>
  <si>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</si>
  <si>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</si>
  <si>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</si>
  <si>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</si>
  <si>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</si>
  <si>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</si>
  <si>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</si>
  <si>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</si>
  <si>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</si>
  <si>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</si>
  <si>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</si>
  <si>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</si>
  <si>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</si>
  <si>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</si>
  <si>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</si>
  <si>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</si>
  <si>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</si>
  <si>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</si>
  <si>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</si>
  <si>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</si>
  <si>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</si>
  <si>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</si>
  <si>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</si>
  <si>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</si>
  <si>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</si>
  <si>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</si>
  <si>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</si>
  <si>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</si>
  <si>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</si>
  <si>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</si>
  <si>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</si>
  <si>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</si>
  <si>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</si>
  <si>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</si>
  <si>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</si>
  <si>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</si>
  <si>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</si>
  <si>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</si>
  <si>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</si>
  <si>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</si>
  <si>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</si>
  <si>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</si>
  <si>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</si>
  <si>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</si>
  <si>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</si>
  <si>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</si>
  <si>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</si>
  <si>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</si>
  <si>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</si>
  <si>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</si>
  <si>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</si>
  <si>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</si>
  <si>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</si>
  <si>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</si>
  <si>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</si>
  <si>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</si>
  <si>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</si>
  <si>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</si>
  <si>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</si>
  <si>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</si>
  <si>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</si>
  <si>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</si>
  <si>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</si>
  <si>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</si>
  <si>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</si>
  <si>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</si>
  <si>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</si>
  <si>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</si>
  <si>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</si>
  <si>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</si>
  <si>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</si>
  <si>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</si>
  <si>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</si>
  <si>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</si>
  <si>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</si>
  <si>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</si>
  <si>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</si>
  <si>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</si>
  <si>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</si>
  <si>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</si>
  <si>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</si>
  <si>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</si>
  <si>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</si>
  <si>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</si>
  <si>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</si>
  <si>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</si>
  <si>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</si>
  <si>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</si>
  <si>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</si>
  <si>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</si>
  <si>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</si>
  <si>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</si>
  <si>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</si>
  <si>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</si>
  <si>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</si>
  <si>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</si>
  <si>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</si>
  <si>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</si>
  <si>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</si>
  <si>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</si>
  <si>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</si>
  <si>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</si>
  <si>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</si>
  <si>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</si>
  <si>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</si>
  <si>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</si>
  <si>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</si>
  <si>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</si>
  <si>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</si>
  <si>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</si>
  <si>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</si>
  <si>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</si>
  <si>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</si>
  <si>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</si>
  <si>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</si>
  <si>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</si>
  <si>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</si>
  <si>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</si>
  <si>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</si>
  <si>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</si>
  <si>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</si>
  <si>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</si>
  <si>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</si>
  <si>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</si>
  <si>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</si>
  <si>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</si>
  <si>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</si>
  <si>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</si>
  <si>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</si>
  <si>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</si>
  <si>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</si>
  <si>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</si>
  <si>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</si>
  <si>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</si>
  <si>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</si>
  <si>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</si>
  <si>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</si>
  <si>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</si>
  <si>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</si>
  <si>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</si>
  <si>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</si>
  <si>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</si>
  <si>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</si>
  <si>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</si>
  <si>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</si>
  <si>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</si>
  <si>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</si>
  <si>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</si>
  <si>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</si>
  <si>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</si>
  <si>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</si>
  <si>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</si>
  <si>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</si>
  <si>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(Y02121) DR SEAMARK + PARTNERS</t>
  </si>
  <si>
    <t>(L83007) SEATON + COLYTON MEDICAL PRACTICE</t>
  </si>
  <si>
    <t>(L83003) QUEENS MEDICAL CENTRE</t>
  </si>
  <si>
    <t>(L83042) ST.LEONARDS MED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</si>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</sst>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0.7237519832722151</c:v>
                </c:pt>
                <c:pt idx="8">
                  <c:v>0.7850341097320678</c:v>
                </c:pt>
                <c:pt idx="9">
                  <c:v>0.8888048571147165</c:v>
                </c:pt>
                <c:pt idx="10">
                  <c:v>0.7996655356063382</c:v>
                </c:pt>
                <c:pt idx="11">
                  <c:v>0.8755601108273938</c:v>
                </c:pt>
                <c:pt idx="12">
                  <c:v>1</c:v>
                </c:pt>
                <c:pt idx="13">
                  <c:v>0</c:v>
                </c:pt>
                <c:pt idx="14">
                  <c:v>1</c:v>
                </c:pt>
                <c:pt idx="15">
                  <c:v>0.8722684488968614</c:v>
                </c:pt>
                <c:pt idx="16">
                  <c:v>1</c:v>
                </c:pt>
                <c:pt idx="17">
                  <c:v>1</c:v>
                </c:pt>
                <c:pt idx="18">
                  <c:v>1</c:v>
                </c:pt>
                <c:pt idx="19">
                  <c:v>1</c:v>
                </c:pt>
                <c:pt idx="20">
                  <c:v>1</c:v>
                </c:pt>
                <c:pt idx="21">
                  <c:v>1</c:v>
                </c:pt>
                <c:pt idx="22">
                  <c:v>1</c:v>
                </c:pt>
                <c:pt idx="23">
                  <c:v>1</c:v>
                </c:pt>
                <c:pt idx="24">
                  <c:v>1</c:v>
                </c:pt>
                <c:pt idx="25">
                  <c:v>0.901271090905299</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0.5874707262827422</c:v>
                </c:pt>
                <c:pt idx="3">
                  <c:v>0.5652173913043479</c:v>
                </c:pt>
                <c:pt idx="4">
                  <c:v>0.6382117250291062</c:v>
                </c:pt>
                <c:pt idx="5">
                  <c:v>0.6166076114395582</c:v>
                </c:pt>
                <c:pt idx="6">
                  <c:v>0.5807860262008734</c:v>
                </c:pt>
                <c:pt idx="7">
                  <c:v>0.582371730884408</c:v>
                </c:pt>
                <c:pt idx="8">
                  <c:v>0.5768801076281764</c:v>
                </c:pt>
                <c:pt idx="9">
                  <c:v>0.5742400205428377</c:v>
                </c:pt>
                <c:pt idx="10">
                  <c:v>0.5908619076825326</c:v>
                </c:pt>
                <c:pt idx="11">
                  <c:v>0.5671619537376595</c:v>
                </c:pt>
                <c:pt idx="12">
                  <c:v>0.5859824677312969</c:v>
                </c:pt>
                <c:pt idx="13">
                  <c:v>0</c:v>
                </c:pt>
                <c:pt idx="14">
                  <c:v>0.5743164518691907</c:v>
                </c:pt>
                <c:pt idx="15">
                  <c:v>0.594535666872294</c:v>
                </c:pt>
                <c:pt idx="16">
                  <c:v>0.5778707098133302</c:v>
                </c:pt>
                <c:pt idx="17">
                  <c:v>0.6066660648336439</c:v>
                </c:pt>
                <c:pt idx="18">
                  <c:v>0.6030737395583019</c:v>
                </c:pt>
                <c:pt idx="19">
                  <c:v>0.6137391854916096</c:v>
                </c:pt>
                <c:pt idx="20">
                  <c:v>0.635536189536152</c:v>
                </c:pt>
                <c:pt idx="21">
                  <c:v>0.5799102321122303</c:v>
                </c:pt>
                <c:pt idx="22">
                  <c:v>0.6101698602862367</c:v>
                </c:pt>
                <c:pt idx="23">
                  <c:v>0.61114975783185</c:v>
                </c:pt>
                <c:pt idx="24">
                  <c:v>0.6201982950474254</c:v>
                </c:pt>
                <c:pt idx="25">
                  <c:v>0.5874209093878598</c:v>
                </c:pt>
                <c:pt idx="26">
                  <c:v>0.648634726635258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0.3586686024659141</c:v>
                </c:pt>
                <c:pt idx="3">
                  <c:v>0.45652173913043476</c:v>
                </c:pt>
                <c:pt idx="4">
                  <c:v>0.39740998336644695</c:v>
                </c:pt>
                <c:pt idx="5">
                  <c:v>0.4055340552888125</c:v>
                </c:pt>
                <c:pt idx="6">
                  <c:v>0.4279475982532751</c:v>
                </c:pt>
                <c:pt idx="7">
                  <c:v>0.3844958022927153</c:v>
                </c:pt>
                <c:pt idx="8">
                  <c:v>0.3338458134130927</c:v>
                </c:pt>
                <c:pt idx="9">
                  <c:v>0.4017971465154566</c:v>
                </c:pt>
                <c:pt idx="10">
                  <c:v>0.4125759494508697</c:v>
                </c:pt>
                <c:pt idx="11">
                  <c:v>0.41284241063405813</c:v>
                </c:pt>
                <c:pt idx="12">
                  <c:v>0.421305454200701</c:v>
                </c:pt>
                <c:pt idx="13">
                  <c:v>0</c:v>
                </c:pt>
                <c:pt idx="14">
                  <c:v>0.4439936609917356</c:v>
                </c:pt>
                <c:pt idx="15">
                  <c:v>0.41146752698503847</c:v>
                </c:pt>
                <c:pt idx="16">
                  <c:v>0.4173626932203619</c:v>
                </c:pt>
                <c:pt idx="17">
                  <c:v>0.4079364561811523</c:v>
                </c:pt>
                <c:pt idx="18">
                  <c:v>0.40393140021413904</c:v>
                </c:pt>
                <c:pt idx="19">
                  <c:v>0.4396175807013227</c:v>
                </c:pt>
                <c:pt idx="20">
                  <c:v>0.3709982157513975</c:v>
                </c:pt>
                <c:pt idx="21">
                  <c:v>0.39885898730317343</c:v>
                </c:pt>
                <c:pt idx="22">
                  <c:v>0.384235873194555</c:v>
                </c:pt>
                <c:pt idx="23">
                  <c:v>0.4165642281831389</c:v>
                </c:pt>
                <c:pt idx="24">
                  <c:v>0.35904967643462904</c:v>
                </c:pt>
                <c:pt idx="25">
                  <c:v>0.41843414533523354</c:v>
                </c:pt>
                <c:pt idx="26">
                  <c:v>0.38895436434023595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0.07894089149108575</c:v>
                </c:pt>
                <c:pt idx="3">
                  <c:v>0.391304347826087</c:v>
                </c:pt>
                <c:pt idx="4">
                  <c:v>0.05797498049140271</c:v>
                </c:pt>
                <c:pt idx="5">
                  <c:v>0.06694661699597503</c:v>
                </c:pt>
                <c:pt idx="6">
                  <c:v>0.17903930131004359</c:v>
                </c:pt>
                <c:pt idx="7">
                  <c:v>0</c:v>
                </c:pt>
                <c:pt idx="8">
                  <c:v>0</c:v>
                </c:pt>
                <c:pt idx="9">
                  <c:v>0</c:v>
                </c:pt>
                <c:pt idx="10">
                  <c:v>0</c:v>
                </c:pt>
                <c:pt idx="11">
                  <c:v>0</c:v>
                </c:pt>
                <c:pt idx="12">
                  <c:v>0.2418877997843128</c:v>
                </c:pt>
                <c:pt idx="13">
                  <c:v>0</c:v>
                </c:pt>
                <c:pt idx="14">
                  <c:v>0.25821190376497716</c:v>
                </c:pt>
                <c:pt idx="15">
                  <c:v>0</c:v>
                </c:pt>
                <c:pt idx="16">
                  <c:v>0.1631135583849855</c:v>
                </c:pt>
                <c:pt idx="17">
                  <c:v>0.1581118122049703</c:v>
                </c:pt>
                <c:pt idx="18">
                  <c:v>0.23940335532552218</c:v>
                </c:pt>
                <c:pt idx="19">
                  <c:v>0.31537809319948923</c:v>
                </c:pt>
                <c:pt idx="20">
                  <c:v>0.0020281877790050197</c:v>
                </c:pt>
                <c:pt idx="21">
                  <c:v>0.3637904040846585</c:v>
                </c:pt>
                <c:pt idx="22">
                  <c:v>0.12350719582017729</c:v>
                </c:pt>
                <c:pt idx="23">
                  <c:v>0.19067397503885394</c:v>
                </c:pt>
                <c:pt idx="24">
                  <c:v>0.07329945654637265</c:v>
                </c:pt>
                <c:pt idx="25">
                  <c:v>0</c:v>
                </c:pt>
                <c:pt idx="26">
                  <c:v>0.13876556736423068</c:v>
                </c:pt>
              </c:numCache>
            </c:numRef>
          </c:val>
        </c:ser>
        <c:overlap val="100"/>
        <c:gapWidth val="100"/>
        <c:axId val="21765811"/>
        <c:axId val="6167457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0.3642152804953315</c:v>
                </c:pt>
                <c:pt idx="3">
                  <c:v>0.588156860648078</c:v>
                </c:pt>
                <c:pt idx="4">
                  <c:v>0.38033447296669587</c:v>
                </c:pt>
                <c:pt idx="5">
                  <c:v>0.40372869409432727</c:v>
                </c:pt>
                <c:pt idx="6">
                  <c:v>0.4265554188889374</c:v>
                </c:pt>
                <c:pt idx="7">
                  <c:v>0.40085459819895597</c:v>
                </c:pt>
                <c:pt idx="8">
                  <c:v>0.5324006291376968</c:v>
                </c:pt>
                <c:pt idx="9">
                  <c:v>0.3794273517850574</c:v>
                </c:pt>
                <c:pt idx="10">
                  <c:v>0.4058163378524488</c:v>
                </c:pt>
                <c:pt idx="11">
                  <c:v>0.3965454426458868</c:v>
                </c:pt>
                <c:pt idx="12">
                  <c:v>0.40250375248425874</c:v>
                </c:pt>
                <c:pt idx="13">
                  <c:v>0.5</c:v>
                </c:pt>
                <c:pt idx="14">
                  <c:v>0.4804094055200598</c:v>
                </c:pt>
                <c:pt idx="15">
                  <c:v>0.4499429359207023</c:v>
                </c:pt>
                <c:pt idx="16">
                  <c:v>0.42860052137099125</c:v>
                </c:pt>
                <c:pt idx="17">
                  <c:v>0.4053746185291926</c:v>
                </c:pt>
                <c:pt idx="18">
                  <c:v>0.48023890401036573</c:v>
                </c:pt>
                <c:pt idx="19">
                  <c:v>0.46493626383436454</c:v>
                </c:pt>
                <c:pt idx="20">
                  <c:v>0.38773238813066435</c:v>
                </c:pt>
                <c:pt idx="21">
                  <c:v>0.5810798408997142</c:v>
                </c:pt>
                <c:pt idx="22">
                  <c:v>0.5725722463725159</c:v>
                </c:pt>
                <c:pt idx="23">
                  <c:v>0.49336615305852427</c:v>
                </c:pt>
                <c:pt idx="24">
                  <c:v>0.543610495400454</c:v>
                </c:pt>
                <c:pt idx="25">
                  <c:v>0.4655002501353942</c:v>
                </c:pt>
                <c:pt idx="26">
                  <c:v>0.5381440729209377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0.5361977652239875</c:v>
                </c:pt>
                <c:pt idx="6">
                  <c:v>-999</c:v>
                </c:pt>
                <c:pt idx="7">
                  <c:v>-999</c:v>
                </c:pt>
                <c:pt idx="8">
                  <c:v>-999</c:v>
                </c:pt>
                <c:pt idx="9">
                  <c:v>-999</c:v>
                </c:pt>
                <c:pt idx="10">
                  <c:v>0.5484002629825576</c:v>
                </c:pt>
                <c:pt idx="11">
                  <c:v>0.547225069267121</c:v>
                </c:pt>
                <c:pt idx="12">
                  <c:v>-999</c:v>
                </c:pt>
                <c:pt idx="13">
                  <c:v>-999</c:v>
                </c:pt>
                <c:pt idx="14">
                  <c:v>0.5373402322707519</c:v>
                </c:pt>
                <c:pt idx="15">
                  <c:v>0.43256191495775276</c:v>
                </c:pt>
                <c:pt idx="16">
                  <c:v>0.4399274524021722</c:v>
                </c:pt>
                <c:pt idx="17">
                  <c:v>-999</c:v>
                </c:pt>
                <c:pt idx="18">
                  <c:v>0.4054102893810945</c:v>
                </c:pt>
                <c:pt idx="19">
                  <c:v>-999</c:v>
                </c:pt>
                <c:pt idx="20">
                  <c:v>-999</c:v>
                </c:pt>
                <c:pt idx="21">
                  <c:v>-999</c:v>
                </c:pt>
                <c:pt idx="22">
                  <c:v>-999</c:v>
                </c:pt>
                <c:pt idx="23">
                  <c:v>0.5422707494744302</c:v>
                </c:pt>
                <c:pt idx="24">
                  <c:v>0.3517595134238234</c:v>
                </c:pt>
                <c:pt idx="25">
                  <c:v>0.601104972144064</c:v>
                </c:pt>
                <c:pt idx="26">
                  <c:v>0.521739092627665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0.569982718426384</c:v>
                </c:pt>
                <c:pt idx="3">
                  <c:v>0.5</c:v>
                </c:pt>
                <c:pt idx="4">
                  <c:v>0.34557089321710555</c:v>
                </c:pt>
                <c:pt idx="5">
                  <c:v>-999</c:v>
                </c:pt>
                <c:pt idx="6">
                  <c:v>0.5873362445414847</c:v>
                </c:pt>
                <c:pt idx="7">
                  <c:v>0.6110642947956835</c:v>
                </c:pt>
                <c:pt idx="8">
                  <c:v>0.5999348421688921</c:v>
                </c:pt>
                <c:pt idx="9">
                  <c:v>0.3650504425152314</c:v>
                </c:pt>
                <c:pt idx="10">
                  <c:v>-999</c:v>
                </c:pt>
                <c:pt idx="11">
                  <c:v>-999</c:v>
                </c:pt>
                <c:pt idx="12">
                  <c:v>0.6485530529794648</c:v>
                </c:pt>
                <c:pt idx="13">
                  <c:v>0.6200703193671256</c:v>
                </c:pt>
                <c:pt idx="14">
                  <c:v>-999</c:v>
                </c:pt>
                <c:pt idx="15">
                  <c:v>-999</c:v>
                </c:pt>
                <c:pt idx="16">
                  <c:v>-999</c:v>
                </c:pt>
                <c:pt idx="17">
                  <c:v>0.7585576720491246</c:v>
                </c:pt>
                <c:pt idx="18">
                  <c:v>-999</c:v>
                </c:pt>
                <c:pt idx="19">
                  <c:v>0.7235137778790834</c:v>
                </c:pt>
                <c:pt idx="20">
                  <c:v>0.6557456700941927</c:v>
                </c:pt>
                <c:pt idx="21">
                  <c:v>0.37450652094837633</c:v>
                </c:pt>
                <c:pt idx="22">
                  <c:v>0.4057328148905919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8200237"/>
        <c:axId val="29584406"/>
      </c:scatterChart>
      <c:catAx>
        <c:axId val="21765811"/>
        <c:scaling>
          <c:orientation val="maxMin"/>
        </c:scaling>
        <c:axPos val="l"/>
        <c:delete val="0"/>
        <c:numFmt formatCode="General" sourceLinked="1"/>
        <c:majorTickMark val="out"/>
        <c:minorTickMark val="none"/>
        <c:tickLblPos val="none"/>
        <c:spPr>
          <a:ln w="3175">
            <a:noFill/>
          </a:ln>
        </c:spPr>
        <c:crossAx val="61674572"/>
        <c:crosses val="autoZero"/>
        <c:auto val="1"/>
        <c:lblOffset val="100"/>
        <c:tickLblSkip val="1"/>
        <c:noMultiLvlLbl val="0"/>
      </c:catAx>
      <c:valAx>
        <c:axId val="61674572"/>
        <c:scaling>
          <c:orientation val="minMax"/>
          <c:max val="1"/>
          <c:min val="0"/>
        </c:scaling>
        <c:axPos val="t"/>
        <c:delete val="0"/>
        <c:numFmt formatCode="General" sourceLinked="1"/>
        <c:majorTickMark val="none"/>
        <c:minorTickMark val="none"/>
        <c:tickLblPos val="none"/>
        <c:spPr>
          <a:ln w="3175">
            <a:noFill/>
          </a:ln>
        </c:spPr>
        <c:crossAx val="21765811"/>
        <c:crossesAt val="1"/>
        <c:crossBetween val="between"/>
        <c:dispUnits/>
        <c:majorUnit val="1"/>
      </c:valAx>
      <c:valAx>
        <c:axId val="18200237"/>
        <c:scaling>
          <c:orientation val="minMax"/>
          <c:max val="1"/>
          <c:min val="0"/>
        </c:scaling>
        <c:axPos val="t"/>
        <c:delete val="0"/>
        <c:numFmt formatCode="General" sourceLinked="1"/>
        <c:majorTickMark val="none"/>
        <c:minorTickMark val="none"/>
        <c:tickLblPos val="none"/>
        <c:spPr>
          <a:ln w="3175">
            <a:noFill/>
          </a:ln>
        </c:spPr>
        <c:crossAx val="29584406"/>
        <c:crosses val="max"/>
        <c:crossBetween val="midCat"/>
        <c:dispUnits/>
        <c:majorUnit val="0.1"/>
        <c:minorUnit val="0.02"/>
      </c:valAx>
      <c:valAx>
        <c:axId val="29584406"/>
        <c:scaling>
          <c:orientation val="maxMin"/>
          <c:max val="29"/>
          <c:min val="0"/>
        </c:scaling>
        <c:axPos val="l"/>
        <c:delete val="0"/>
        <c:numFmt formatCode="General" sourceLinked="1"/>
        <c:majorTickMark val="none"/>
        <c:minorTickMark val="none"/>
        <c:tickLblPos val="none"/>
        <c:spPr>
          <a:ln w="3175">
            <a:noFill/>
          </a:ln>
        </c:spPr>
        <c:crossAx val="1820023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(L83101) ABBEY SURGERY, NHS NORTH EAST WEST DEVON CCG (99P)</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950</v>
      </c>
      <c r="Q3" s="65"/>
      <c r="R3" s="66"/>
      <c r="S3" s="66"/>
      <c r="T3" s="66"/>
      <c r="U3" s="66"/>
      <c r="V3" s="66"/>
      <c r="W3" s="66"/>
      <c r="X3" s="66"/>
      <c r="Y3" s="66"/>
      <c r="Z3" s="66"/>
      <c r="AA3" s="66"/>
      <c r="AB3" s="66"/>
      <c r="AC3" s="66"/>
    </row>
    <row r="4" spans="2:29" ht="18" customHeight="1">
      <c r="B4" s="317" t="s">
        <v>951</v>
      </c>
      <c r="C4" s="318"/>
      <c r="D4" s="318"/>
      <c r="E4" s="318"/>
      <c r="F4" s="318"/>
      <c r="G4" s="319"/>
      <c r="H4" s="111"/>
      <c r="I4" s="111"/>
      <c r="J4" s="111"/>
      <c r="K4" s="111"/>
      <c r="L4" s="112"/>
      <c r="M4" s="65"/>
      <c r="N4" s="65"/>
      <c r="O4" s="65"/>
      <c r="P4" s="133" t="s">
        <v>952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254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230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970</v>
      </c>
      <c r="C8" s="114"/>
      <c r="D8" s="114"/>
      <c r="E8" s="127">
        <f>VLOOKUP('Hide - Control'!A$3,'All practice data'!A:CA,4,FALSE)</f>
        <v>14596</v>
      </c>
      <c r="F8" s="332" t="str">
        <f>VLOOKUP('Hide - Control'!B4,'Hide - Calculation'!AY:BA,3,FALSE)</f>
        <v> </v>
      </c>
      <c r="G8" s="332"/>
      <c r="H8" s="332"/>
      <c r="I8" s="114"/>
      <c r="J8" s="114"/>
      <c r="K8" s="114"/>
      <c r="L8" s="114"/>
      <c r="M8" s="108"/>
      <c r="N8" s="308" t="s">
        <v>953</v>
      </c>
      <c r="O8" s="308"/>
      <c r="P8" s="308"/>
      <c r="Q8" s="308" t="s">
        <v>954</v>
      </c>
      <c r="R8" s="308"/>
      <c r="S8" s="308"/>
      <c r="T8" s="308" t="s">
        <v>955</v>
      </c>
      <c r="U8" s="308"/>
      <c r="V8" s="308" t="s">
        <v>956</v>
      </c>
      <c r="W8" s="308"/>
      <c r="X8" s="308"/>
      <c r="Y8" s="134"/>
      <c r="Z8" s="308" t="s">
        <v>957</v>
      </c>
      <c r="AA8" s="308"/>
      <c r="AB8" s="160"/>
      <c r="AC8" s="108"/>
    </row>
    <row r="9" spans="2:29" s="61" customFormat="1" ht="19.5" customHeight="1" thickBot="1">
      <c r="B9" s="113" t="s">
        <v>958</v>
      </c>
      <c r="C9" s="113"/>
      <c r="D9" s="113"/>
      <c r="E9" s="128">
        <f>VLOOKUP('Hide - Control'!B4,'Hide - Calculation'!AY:BB,4,FALSE)</f>
        <v>901403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959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233</v>
      </c>
      <c r="E11" s="315"/>
      <c r="F11" s="316"/>
      <c r="G11" s="260" t="s">
        <v>231</v>
      </c>
      <c r="H11" s="252" t="s">
        <v>232</v>
      </c>
      <c r="I11" s="252" t="s">
        <v>240</v>
      </c>
      <c r="J11" s="252" t="s">
        <v>241</v>
      </c>
      <c r="K11" s="297" t="s">
        <v>960</v>
      </c>
      <c r="L11" s="253" t="s">
        <v>230</v>
      </c>
      <c r="M11" s="254" t="s">
        <v>249</v>
      </c>
      <c r="N11" s="312" t="s">
        <v>248</v>
      </c>
      <c r="O11" s="312"/>
      <c r="P11" s="312"/>
      <c r="Q11" s="312"/>
      <c r="R11" s="312"/>
      <c r="S11" s="312"/>
      <c r="T11" s="312"/>
      <c r="U11" s="312"/>
      <c r="V11" s="312"/>
      <c r="W11" s="312"/>
      <c r="X11" s="312"/>
      <c r="Y11" s="312"/>
      <c r="Z11" s="312"/>
      <c r="AA11" s="255" t="s">
        <v>250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188</v>
      </c>
      <c r="C13" s="162">
        <v>1</v>
      </c>
      <c r="D13" s="334" t="s">
        <v>184</v>
      </c>
      <c r="E13" s="335"/>
      <c r="F13" s="335"/>
      <c r="G13" s="165">
        <f>IF(VLOOKUP('Hide - Control'!A$3,'All practice data'!A:CA,C13+4,FALSE)=" "," ",VLOOKUP('Hide - Control'!A$3,'All practice data'!A:CA,C13+4,FALSE))</f>
        <v>3493</v>
      </c>
      <c r="H13" s="189">
        <f>IF(VLOOKUP('Hide - Control'!A$3,'All practice data'!A:CA,C13+30,FALSE)=" "," ",VLOOKUP('Hide - Control'!A$3,'All practice data'!A:CA,C13+30,FALSE))</f>
        <v>0.23931214031241435</v>
      </c>
      <c r="I13" s="190">
        <f>IF(LEFT(G13,1)=" "," n/a",+((2*G13+1.96^2-1.96*SQRT(1.96^2+4*G13*(1-G13/E$8)))/(2*(E$8+1.96^2))))</f>
        <v>0.23245941398537376</v>
      </c>
      <c r="J13" s="190">
        <f>IF(LEFT(G13,1)=" "," n/a",+((2*G13+1.96^2+1.96*SQRT(1.96^2+4*G13*(1-G13/E$8)))/(2*(E$8+1.96^2))))</f>
        <v>0.24630205422124019</v>
      </c>
      <c r="K13" s="189">
        <f>IF('Hide - Calculation'!N7="","",'Hide - Calculation'!N7)</f>
        <v>0.20658129604627454</v>
      </c>
      <c r="L13" s="191">
        <f>'Hide - Calculation'!O7</f>
        <v>0.16403398204837302</v>
      </c>
      <c r="M13" s="301" t="str">
        <f>IF(ISBLANK('Hide - Calculation'!K7),"",FIXED(100*'Hide - Calculation'!U7,1)&amp;"%")</f>
        <v>6.0%</v>
      </c>
      <c r="N13" s="172"/>
      <c r="O13" s="172"/>
      <c r="P13" s="172"/>
      <c r="Q13" s="172"/>
      <c r="R13" s="172"/>
      <c r="S13" s="172"/>
      <c r="T13" s="172"/>
      <c r="U13" s="172"/>
      <c r="V13" s="172"/>
      <c r="W13" s="172"/>
      <c r="X13" s="172"/>
      <c r="Y13" s="172"/>
      <c r="Z13" s="172"/>
      <c r="AA13" s="302" t="str">
        <f>IF(ISBLANK('Hide - Calculation'!K7),"",FIXED(100*'Hide - Calculation'!T7,1)&amp;"%")</f>
        <v>39.7%</v>
      </c>
      <c r="AB13" s="230" t="s">
        <v>377</v>
      </c>
      <c r="AC13" s="207" t="s">
        <v>961</v>
      </c>
    </row>
    <row r="14" spans="2:29" ht="33.75" customHeight="1">
      <c r="B14" s="327"/>
      <c r="C14" s="136">
        <v>2</v>
      </c>
      <c r="D14" s="131" t="s">
        <v>255</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0.11</v>
      </c>
      <c r="I14" s="119">
        <f>IF(LEFT(G14,1)=" "," n/a",+((2*H14*E8+1.96^2-1.96*SQRT(1.96^2+4*H14*E8*(1-H14*E8/E$8)))/(2*(E$8+1.96^2))))</f>
        <v>0.10502614600628737</v>
      </c>
      <c r="J14" s="119">
        <f>IF(LEFT(G14,1)=" "," n/a",+((2*H14*E8+1.96^2+1.96*SQRT(1.96^2+4*H14*E8*(1-H14*E8/E$8)))/(2*(E$8+1.96^2))))</f>
        <v>0.11517909238479217</v>
      </c>
      <c r="K14" s="118">
        <f>IF('Hide - Calculation'!N8="","",'Hide - Calculation'!N8)</f>
        <v>0.1216120980294052</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34.0%</v>
      </c>
      <c r="AB14" s="231" t="s">
        <v>39</v>
      </c>
      <c r="AC14" s="129" t="s">
        <v>961</v>
      </c>
    </row>
    <row r="15" spans="2:39" s="63" customFormat="1" ht="33.75" customHeight="1">
      <c r="B15" s="327"/>
      <c r="C15" s="136">
        <v>3</v>
      </c>
      <c r="D15" s="131" t="s">
        <v>192</v>
      </c>
      <c r="E15" s="85"/>
      <c r="F15" s="85"/>
      <c r="G15" s="120">
        <f>IF(VLOOKUP('Hide - Control'!A$3,'All practice data'!A:CA,C15+4,FALSE)=" "," ",VLOOKUP('Hide - Control'!A$3,'All practice data'!A:CA,C15+4,FALSE))</f>
        <v>64</v>
      </c>
      <c r="H15" s="121">
        <f>IF(VLOOKUP('Hide - Control'!A$3,'All practice data'!A:CA,C15+30,FALSE)=" "," ",VLOOKUP('Hide - Control'!A$3,'All practice data'!A:CA,C15+30,FALSE))</f>
        <v>438.4762948753083</v>
      </c>
      <c r="I15" s="122">
        <f>IF(LEFT(G15,1)=" "," n/a",IF(G15&lt;5,100000*VLOOKUP(G15,'Hide - Calculation'!AQ:AR,2,FALSE)/$E$8,100000*(G15*(1-1/(9*G15)-1.96/(3*SQRT(G15)))^3)/$E$8))</f>
        <v>337.6616431990722</v>
      </c>
      <c r="J15" s="122">
        <f>IF(LEFT(G15,1)=" "," n/a",IF(G15&lt;5,100000*VLOOKUP(G15,'Hide - Calculation'!AQ:AS,3,FALSE)/$E$8,100000*((G15+1)*(1-1/(9*(G15+1))+1.96/(3*SQRT(G15+1)))^3)/$E$8))</f>
        <v>559.935719725189</v>
      </c>
      <c r="K15" s="121">
        <f>IF('Hide - Calculation'!N9="","",'Hide - Calculation'!N9)</f>
        <v>580.2066334369865</v>
      </c>
      <c r="L15" s="155">
        <f>'Hide - Calculation'!O9</f>
        <v>470.8933116400106</v>
      </c>
      <c r="M15" s="150" t="str">
        <f>IF(ISBLANK('Hide - Calculation'!K9),"",FIXED('Hide - Calculation'!U9,0))</f>
        <v>170</v>
      </c>
      <c r="N15" s="84"/>
      <c r="O15" s="84"/>
      <c r="P15" s="84"/>
      <c r="Q15" s="84"/>
      <c r="R15" s="84"/>
      <c r="S15" s="84"/>
      <c r="T15" s="84"/>
      <c r="U15" s="84"/>
      <c r="V15" s="84"/>
      <c r="W15" s="84"/>
      <c r="X15" s="84"/>
      <c r="Y15" s="84"/>
      <c r="Z15" s="84"/>
      <c r="AA15" s="225" t="str">
        <f>IF(ISBLANK('Hide - Calculation'!K9),"",FIXED('Hide - Calculation'!T9,0))</f>
        <v>1,049</v>
      </c>
      <c r="AB15" s="231" t="s">
        <v>234</v>
      </c>
      <c r="AC15" s="130">
        <v>2010</v>
      </c>
      <c r="AD15" s="64"/>
      <c r="AE15" s="64"/>
      <c r="AF15" s="64"/>
      <c r="AG15" s="64"/>
      <c r="AH15" s="64"/>
      <c r="AI15" s="64"/>
      <c r="AJ15" s="64"/>
      <c r="AK15" s="64"/>
      <c r="AL15" s="64"/>
      <c r="AM15" s="64"/>
    </row>
    <row r="16" spans="2:29" s="63" customFormat="1" ht="33.75" customHeight="1">
      <c r="B16" s="327"/>
      <c r="C16" s="136">
        <v>4</v>
      </c>
      <c r="D16" s="131" t="s">
        <v>251</v>
      </c>
      <c r="E16" s="85"/>
      <c r="F16" s="85"/>
      <c r="G16" s="120">
        <f>IF(VLOOKUP('Hide - Control'!A$3,'All practice data'!A:CA,C16+4,FALSE)=" "," ",VLOOKUP('Hide - Control'!A$3,'All practice data'!A:CA,C16+4,FALSE))</f>
        <v>44</v>
      </c>
      <c r="H16" s="121">
        <f>IF(VLOOKUP('Hide - Control'!A$3,'All practice data'!A:CA,C16+30,FALSE)=" "," ",VLOOKUP('Hide - Control'!A$3,'All practice data'!A:CA,C16+30,FALSE))</f>
        <v>301.4524527267745</v>
      </c>
      <c r="I16" s="122">
        <f>IF(LEFT(G16,1)=" "," n/a",IF(G16&lt;5,100000*VLOOKUP(G16,'Hide - Calculation'!AQ:AR,2,FALSE)/$E$8,100000*(G16*(1-1/(9*G16)-1.96/(3*SQRT(G16)))^3)/$E$8))</f>
        <v>219.01326573262085</v>
      </c>
      <c r="J16" s="122">
        <f>IF(LEFT(G16,1)=" "," n/a",IF(G16&lt;5,100000*VLOOKUP(G16,'Hide - Calculation'!AQ:AS,3,FALSE)/$E$8,100000*((G16+1)*(1-1/(9*(G16+1))+1.96/(3*SQRT(G16+1)))^3)/$E$8))</f>
        <v>404.69761149822125</v>
      </c>
      <c r="K16" s="121">
        <f>IF('Hide - Calculation'!N10="","",'Hide - Calculation'!N10)</f>
        <v>283.8907791520552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538</v>
      </c>
      <c r="AB16" s="231" t="s">
        <v>187</v>
      </c>
      <c r="AC16" s="130" t="s">
        <v>962</v>
      </c>
    </row>
    <row r="17" spans="2:29" s="63" customFormat="1" ht="33.75" customHeight="1" thickBot="1">
      <c r="B17" s="328"/>
      <c r="C17" s="179">
        <v>5</v>
      </c>
      <c r="D17" s="194" t="s">
        <v>191</v>
      </c>
      <c r="E17" s="181"/>
      <c r="F17" s="181"/>
      <c r="G17" s="139">
        <f>IF(VLOOKUP('Hide - Control'!A$3,'All practice data'!A:CA,C17+4,FALSE)=" "," ",VLOOKUP('Hide - Control'!A$3,'All practice data'!A:CA,C17+4,FALSE))</f>
        <v>366</v>
      </c>
      <c r="H17" s="140">
        <f>IF(VLOOKUP('Hide - Control'!A$3,'All practice data'!A:CA,C17+30,FALSE)=" "," ",VLOOKUP('Hide - Control'!A$3,'All practice data'!A:CA,C17+30,FALSE))</f>
        <v>0.025099999999999997</v>
      </c>
      <c r="I17" s="141">
        <f>IF(LEFT(G17,1)=" "," n/a",+((2*G17+1.96^2-1.96*SQRT(1.96^2+4*G17*(1-G17/E$8)))/(2*(E$8+1.96^2))))</f>
        <v>0.022661006833821173</v>
      </c>
      <c r="J17" s="141">
        <f>IF(LEFT(G17,1)=" "," n/a",+((2*G17+1.96^2+1.96*SQRT(1.96^2+4*G17*(1-G17/E$8)))/(2*(E$8+1.96^2))))</f>
        <v>0.027739649567820882</v>
      </c>
      <c r="K17" s="140">
        <f>IF('Hide - Calculation'!N11="","",'Hide - Calculation'!N11)</f>
        <v>0.02083196971831689</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4.4%</v>
      </c>
      <c r="AB17" s="232" t="s">
        <v>252</v>
      </c>
      <c r="AC17" s="188" t="s">
        <v>962</v>
      </c>
    </row>
    <row r="18" spans="2:29" s="63" customFormat="1" ht="33.75" customHeight="1">
      <c r="B18" s="326" t="s">
        <v>13</v>
      </c>
      <c r="C18" s="162">
        <v>6</v>
      </c>
      <c r="D18" s="163" t="s">
        <v>256</v>
      </c>
      <c r="E18" s="164"/>
      <c r="F18" s="164"/>
      <c r="G18" s="217">
        <f>IF(OR(VLOOKUP('Hide - Control'!A$3,'All practice data'!A:CA,C18+4,FALSE)=" ",VLOOKUP('Hide - Control'!A$3,'All practice data'!A:CA,C18+52,FALSE)=0)," n/a",VLOOKUP('Hide - Control'!A$3,'All practice data'!A:CA,C18+4,FALSE))</f>
        <v>1882</v>
      </c>
      <c r="H18" s="218">
        <f>IF(OR(VLOOKUP('Hide - Control'!A$3,'All practice data'!A:CA,C18+30,FALSE)=" ",VLOOKUP('Hide - Control'!A$3,'All practice data'!A:CA,C18+52,FALSE)=0)," n/a",VLOOKUP('Hide - Control'!A$3,'All practice data'!A:CA,C18+30,FALSE))</f>
        <v>0.824715</v>
      </c>
      <c r="I18" s="190">
        <f>IF(OR(LEFT(H18,1)=" ",VLOOKUP('Hide - Control'!A$3,'All practice data'!A:CA,C18+52,FALSE)=0)," n/a",+((2*G18+1.96^2-1.96*SQRT(1.96^2+4*G18*(1-G18/(VLOOKUP('Hide - Control'!A$3,'All practice data'!A:CA,C18+52,FALSE)))))/(2*(((VLOOKUP('Hide - Control'!A$3,'All practice data'!A:CA,C18+52,FALSE)))+1.96^2))))</f>
        <v>0.8085730860141706</v>
      </c>
      <c r="J18" s="190">
        <f>IF(OR(LEFT(H18,1)=" ",VLOOKUP('Hide - Control'!A$3,'All practice data'!A:CA,C18+52,FALSE)=0)," n/a",+((2*G18+1.96^2+1.96*SQRT(1.96^2+4*G18*(1-G18/(VLOOKUP('Hide - Control'!A$3,'All practice data'!A:CA,C18+52,FALSE)))))/(2*((VLOOKUP('Hide - Control'!A$3,'All practice data'!A:CA,C18+52,FALSE))+1.96^2))))</f>
        <v>0.8397658015097943</v>
      </c>
      <c r="K18" s="218">
        <f>IF('Hide - Calculation'!N12="","",'Hide - Calculation'!N12)</f>
        <v>0.7693656633861332</v>
      </c>
      <c r="L18" s="191">
        <f>'Hide - Calculation'!O12</f>
        <v>0.7246856648259642</v>
      </c>
      <c r="M18" s="192" t="str">
        <f>IF(ISBLANK('Hide - Calculation'!K12),"",FIXED(100*'Hide - Calculation'!U12,1)&amp;"%")</f>
        <v>53.4%</v>
      </c>
      <c r="N18" s="193"/>
      <c r="O18" s="172"/>
      <c r="P18" s="172"/>
      <c r="Q18" s="172"/>
      <c r="R18" s="172"/>
      <c r="S18" s="172"/>
      <c r="T18" s="172"/>
      <c r="U18" s="172"/>
      <c r="V18" s="172"/>
      <c r="W18" s="172"/>
      <c r="X18" s="172"/>
      <c r="Y18" s="172"/>
      <c r="Z18" s="173"/>
      <c r="AA18" s="192" t="str">
        <f>IF(ISBLANK('Hide - Calculation'!K12),"",FIXED(100*'Hide - Calculation'!T12,1)&amp;"%")</f>
        <v>87.8%</v>
      </c>
      <c r="AB18" s="230" t="s">
        <v>48</v>
      </c>
      <c r="AC18" s="174" t="s">
        <v>963</v>
      </c>
    </row>
    <row r="19" spans="2:29" s="63" customFormat="1" ht="33.75" customHeight="1">
      <c r="B19" s="327"/>
      <c r="C19" s="136">
        <v>7</v>
      </c>
      <c r="D19" s="131" t="s">
        <v>257</v>
      </c>
      <c r="E19" s="85"/>
      <c r="F19" s="85"/>
      <c r="G19" s="219">
        <f>IF(OR(VLOOKUP('Hide - Control'!A$3,'All practice data'!A:CA,C19+4,FALSE)=" ",VLOOKUP('Hide - Control'!A$3,'All practice data'!A:CA,C19+52,FALSE)=0)," n/a",VLOOKUP('Hide - Control'!A$3,'All practice data'!A:CA,C19+4,FALSE))</f>
        <v>1798</v>
      </c>
      <c r="H19" s="216">
        <f>IF(OR(VLOOKUP('Hide - Control'!A$3,'All practice data'!A:CA,C19+30,FALSE)=" ",VLOOKUP('Hide - Control'!A$3,'All practice data'!A:CA,C19+52,FALSE)=0)," n/a",VLOOKUP('Hide - Control'!A$3,'All practice data'!A:CA,C19+30,FALSE))</f>
        <v>0.811372</v>
      </c>
      <c r="I19" s="119">
        <f>IF(OR(LEFT(H19,1)=" ",VLOOKUP('Hide - Control'!A$3,'All practice data'!A:CA,C19+52,FALSE)=0)," n/a",+((2*G19+1.96^2-1.96*SQRT(1.96^2+4*G19*(1-G19/(VLOOKUP('Hide - Control'!A$3,'All practice data'!A:CA,C19+52,FALSE)))))/(2*(((VLOOKUP('Hide - Control'!A$3,'All practice data'!A:CA,C19+52,FALSE)))+1.96^2))))</f>
        <v>0.7945495464281136</v>
      </c>
      <c r="J19" s="119">
        <f>IF(OR(LEFT(H19,1)=" ",VLOOKUP('Hide - Control'!A$3,'All practice data'!A:CA,C19+52,FALSE)=0)," n/a",+((2*G19+1.96^2+1.96*SQRT(1.96^2+4*G19*(1-G19/(VLOOKUP('Hide - Control'!A$3,'All practice data'!A:CA,C19+52,FALSE)))))/(2*((VLOOKUP('Hide - Control'!A$3,'All practice data'!A:CA,C19+52,FALSE))+1.96^2))))</f>
        <v>0.8271164319011509</v>
      </c>
      <c r="K19" s="216">
        <f>IF('Hide - Calculation'!N13="","",'Hide - Calculation'!N13)</f>
        <v>0.7773804109645678</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962</v>
      </c>
    </row>
    <row r="20" spans="2:29" s="63" customFormat="1" ht="33.75" customHeight="1">
      <c r="B20" s="327"/>
      <c r="C20" s="136">
        <v>8</v>
      </c>
      <c r="D20" s="131" t="s">
        <v>258</v>
      </c>
      <c r="E20" s="85"/>
      <c r="F20" s="85"/>
      <c r="G20" s="219">
        <f>IF(OR(VLOOKUP('Hide - Control'!A$3,'All practice data'!A:CA,C20+4,FALSE)=" ",VLOOKUP('Hide - Control'!A$3,'All practice data'!A:CA,C20+52,FALSE)=0)," n/a",VLOOKUP('Hide - Control'!A$3,'All practice data'!A:CA,C20+4,FALSE))</f>
        <v>2563</v>
      </c>
      <c r="H20" s="216">
        <f>IF(OR(VLOOKUP('Hide - Control'!A$3,'All practice data'!A:CA,C20+30,FALSE)=" ",VLOOKUP('Hide - Control'!A$3,'All practice data'!A:CA,C20+52,FALSE)=0)," n/a",VLOOKUP('Hide - Control'!A$3,'All practice data'!A:CA,C20+30,FALSE))</f>
        <v>0.748977</v>
      </c>
      <c r="I20" s="119">
        <f>IF(OR(LEFT(H20,1)=" ",VLOOKUP('Hide - Control'!A$3,'All practice data'!A:CA,C20+52,FALSE)=0)," n/a",+((2*G20+1.96^2-1.96*SQRT(1.96^2+4*G20*(1-G20/(VLOOKUP('Hide - Control'!A$3,'All practice data'!A:CA,C20+52,FALSE)))))/(2*(((VLOOKUP('Hide - Control'!A$3,'All practice data'!A:CA,C20+52,FALSE)))+1.96^2))))</f>
        <v>0.7341754398843442</v>
      </c>
      <c r="J20" s="119">
        <f>IF(OR(LEFT(H20,1)=" ",VLOOKUP('Hide - Control'!A$3,'All practice data'!A:CA,C20+52,FALSE)=0)," n/a",+((2*G20+1.96^2+1.96*SQRT(1.96^2+4*G20*(1-G20/(VLOOKUP('Hide - Control'!A$3,'All practice data'!A:CA,C20+52,FALSE)))))/(2*((VLOOKUP('Hide - Control'!A$3,'All practice data'!A:CA,C20+52,FALSE))+1.96^2))))</f>
        <v>0.7632205868321273</v>
      </c>
      <c r="K20" s="216">
        <f>IF('Hide - Calculation'!N14="","",'Hide - Calculation'!N14)</f>
        <v>0.7794262916111212</v>
      </c>
      <c r="L20" s="154">
        <f>'Hide - Calculation'!O14</f>
        <v>0.7530641252748632</v>
      </c>
      <c r="M20" s="151" t="str">
        <f>IF(ISBLANK('Hide - Calculation'!K14),"",FIXED(100*'Hide - Calculation'!U14,1)&amp;"%")</f>
        <v>64.5%</v>
      </c>
      <c r="N20" s="159"/>
      <c r="O20" s="84"/>
      <c r="P20" s="84"/>
      <c r="Q20" s="84"/>
      <c r="R20" s="84"/>
      <c r="S20" s="84"/>
      <c r="T20" s="84"/>
      <c r="U20" s="84"/>
      <c r="V20" s="84"/>
      <c r="W20" s="84"/>
      <c r="X20" s="84"/>
      <c r="Y20" s="84"/>
      <c r="Z20" s="88"/>
      <c r="AA20" s="151" t="str">
        <f>IF(ISBLANK('Hide - Calculation'!K14),"",FIXED(100*'Hide - Calculation'!T14,1)&amp;"%")</f>
        <v>89.8%</v>
      </c>
      <c r="AB20" s="231" t="s">
        <v>48</v>
      </c>
      <c r="AC20" s="130" t="s">
        <v>964</v>
      </c>
    </row>
    <row r="21" spans="2:29" s="63" customFormat="1" ht="33.75" customHeight="1">
      <c r="B21" s="327"/>
      <c r="C21" s="136">
        <v>9</v>
      </c>
      <c r="D21" s="131" t="s">
        <v>259</v>
      </c>
      <c r="E21" s="85"/>
      <c r="F21" s="85"/>
      <c r="G21" s="219">
        <f>IF(OR(VLOOKUP('Hide - Control'!A$3,'All practice data'!A:CA,C21+4,FALSE)=" ",VLOOKUP('Hide - Control'!A$3,'All practice data'!A:CA,C21+52,FALSE)=0)," n/a",VLOOKUP('Hide - Control'!A$3,'All practice data'!A:CA,C21+4,FALSE))</f>
        <v>1390</v>
      </c>
      <c r="H21" s="216">
        <f>IF(OR(VLOOKUP('Hide - Control'!A$3,'All practice data'!A:CA,C21+30,FALSE)=" ",VLOOKUP('Hide - Control'!A$3,'All practice data'!A:CA,C21+52,FALSE)=0)," n/a",VLOOKUP('Hide - Control'!A$3,'All practice data'!A:CA,C21+30,FALSE))</f>
        <v>0.63908</v>
      </c>
      <c r="I21" s="119">
        <f>IF(OR(LEFT(H21,1)=" ",VLOOKUP('Hide - Control'!A$3,'All practice data'!A:CA,C21+52,FALSE)=0)," n/a",+((2*G21+1.96^2-1.96*SQRT(1.96^2+4*G21*(1-G21/(VLOOKUP('Hide - Control'!A$3,'All practice data'!A:CA,C21+52,FALSE)))))/(2*(((VLOOKUP('Hide - Control'!A$3,'All practice data'!A:CA,C21+52,FALSE)))+1.96^2))))</f>
        <v>0.6186674514432215</v>
      </c>
      <c r="J21" s="119">
        <f>IF(OR(LEFT(H21,1)=" ",VLOOKUP('Hide - Control'!A$3,'All practice data'!A:CA,C21+52,FALSE)=0)," n/a",+((2*G21+1.96^2+1.96*SQRT(1.96^2+4*G21*(1-G21/(VLOOKUP('Hide - Control'!A$3,'All practice data'!A:CA,C21+52,FALSE)))))/(2*((VLOOKUP('Hide - Control'!A$3,'All practice data'!A:CA,C21+52,FALSE))+1.96^2))))</f>
        <v>0.6590030318080621</v>
      </c>
      <c r="K21" s="216">
        <f>IF('Hide - Calculation'!N15="","",'Hide - Calculation'!N15)</f>
        <v>0.6275745930307872</v>
      </c>
      <c r="L21" s="154">
        <f>'Hide - Calculation'!O15</f>
        <v>0.5744521249276766</v>
      </c>
      <c r="M21" s="151" t="str">
        <f>IF(ISBLANK('Hide - Calculation'!K15),"",FIXED(100*'Hide - Calculation'!U15,1)&amp;"%")</f>
        <v>39.1%</v>
      </c>
      <c r="N21" s="159"/>
      <c r="O21" s="84"/>
      <c r="P21" s="84"/>
      <c r="Q21" s="84"/>
      <c r="R21" s="84"/>
      <c r="S21" s="84"/>
      <c r="T21" s="84"/>
      <c r="U21" s="84"/>
      <c r="V21" s="84"/>
      <c r="W21" s="84"/>
      <c r="X21" s="84"/>
      <c r="Y21" s="84"/>
      <c r="Z21" s="88"/>
      <c r="AA21" s="151" t="str">
        <f>IF(ISBLANK('Hide - Calculation'!K15),"",FIXED(100*'Hide - Calculation'!T15,1)&amp;"%")</f>
        <v>75.3%</v>
      </c>
      <c r="AB21" s="231" t="s">
        <v>48</v>
      </c>
      <c r="AC21" s="130" t="s">
        <v>965</v>
      </c>
    </row>
    <row r="22" spans="2:29" s="63" customFormat="1" ht="33.75" customHeight="1" thickBot="1">
      <c r="B22" s="328"/>
      <c r="C22" s="179">
        <v>10</v>
      </c>
      <c r="D22" s="194" t="s">
        <v>260</v>
      </c>
      <c r="E22" s="181"/>
      <c r="F22" s="181"/>
      <c r="G22" s="220">
        <f>IF(OR(VLOOKUP('Hide - Control'!A$3,'All practice data'!A:CA,C22+4,FALSE)=" ",VLOOKUP('Hide - Control'!A$3,'All practice data'!A:CA,C22+52,FALSE)=0)," n/a",VLOOKUP('Hide - Control'!A$3,'All practice data'!A:CA,C22+4,FALSE))</f>
        <v>679</v>
      </c>
      <c r="H22" s="221">
        <f>IF(OR(VLOOKUP('Hide - Control'!A$3,'All practice data'!A:CA,C22+30,FALSE)=" ",VLOOKUP('Hide - Control'!A$3,'All practice data'!A:CA,C22+52,FALSE)=0)," n/a",VLOOKUP('Hide - Control'!A$3,'All practice data'!A:CA,C22+30,FALSE))</f>
        <v>0.632805</v>
      </c>
      <c r="I22" s="195">
        <f>IF(OR(LEFT(H22,1)=" ",VLOOKUP('Hide - Control'!A$3,'All practice data'!A:CA,C22+52,FALSE)=0)," n/a",+((2*G22+1.96^2-1.96*SQRT(1.96^2+4*G22*(1-G22/(VLOOKUP('Hide - Control'!A$3,'All practice data'!A:CA,C22+52,FALSE)))))/(2*(((VLOOKUP('Hide - Control'!A$3,'All practice data'!A:CA,C22+52,FALSE)))+1.96^2))))</f>
        <v>0.6035360992969807</v>
      </c>
      <c r="J22" s="195">
        <f>IF(OR(LEFT(H22,1)=" ",VLOOKUP('Hide - Control'!A$3,'All practice data'!A:CA,C22+52,FALSE)=0)," n/a",+((2*G22+1.96^2+1.96*SQRT(1.96^2+4*G22*(1-G22/(VLOOKUP('Hide - Control'!A$3,'All practice data'!A:CA,C22+52,FALSE)))))/(2*((VLOOKUP('Hide - Control'!A$3,'All practice data'!A:CA,C22+52,FALSE))+1.96^2))))</f>
        <v>0.6611267814832567</v>
      </c>
      <c r="K22" s="221">
        <f>IF('Hide - Calculation'!N16="","",'Hide - Calculation'!N16)</f>
        <v>0.6145196898906402</v>
      </c>
      <c r="L22" s="196">
        <f>'Hide - Calculation'!O16</f>
        <v>0.5565049054289257</v>
      </c>
      <c r="M22" s="197" t="str">
        <f>IF(ISBLANK('Hide - Calculation'!K16),"",FIXED(100*'Hide - Calculation'!U16,1)&amp;"%")</f>
        <v>35.6%</v>
      </c>
      <c r="N22" s="198"/>
      <c r="O22" s="91"/>
      <c r="P22" s="91"/>
      <c r="Q22" s="91"/>
      <c r="R22" s="91"/>
      <c r="S22" s="91"/>
      <c r="T22" s="91"/>
      <c r="U22" s="91"/>
      <c r="V22" s="91"/>
      <c r="W22" s="91"/>
      <c r="X22" s="91"/>
      <c r="Y22" s="91"/>
      <c r="Z22" s="187"/>
      <c r="AA22" s="197" t="str">
        <f>IF(ISBLANK('Hide - Calculation'!K16),"",FIXED(100*'Hide - Calculation'!T16,1)&amp;"%")</f>
        <v>79.9%</v>
      </c>
      <c r="AB22" s="232" t="s">
        <v>48</v>
      </c>
      <c r="AC22" s="188" t="s">
        <v>962</v>
      </c>
    </row>
    <row r="23" spans="2:29" s="63" customFormat="1" ht="33.75" customHeight="1">
      <c r="B23" s="326" t="s">
        <v>182</v>
      </c>
      <c r="C23" s="162">
        <v>11</v>
      </c>
      <c r="D23" s="178" t="s">
        <v>193</v>
      </c>
      <c r="E23" s="164"/>
      <c r="F23" s="164"/>
      <c r="G23" s="117">
        <f>IF(VLOOKUP('Hide - Control'!A$3,'All practice data'!A:CA,C23+4,FALSE)=" "," ",VLOOKUP('Hide - Control'!A$3,'All practice data'!A:CA,C23+4,FALSE))</f>
        <v>496</v>
      </c>
      <c r="H23" s="214">
        <f>IF(VLOOKUP('Hide - Control'!A$3,'All practice data'!A:CA,C23+30,FALSE)=" "," ",VLOOKUP('Hide - Control'!A$3,'All practice data'!A:CA,C23+30,FALSE))</f>
        <v>3398.1912852836394</v>
      </c>
      <c r="I23" s="213">
        <f>IF(LEFT(G23,1)=" "," n/a",IF(G23&lt;5,100000*VLOOKUP(G23,'Hide - Calculation'!AQ:AR,2,FALSE)/$E$8,100000*(G23*(1-1/(9*G23)-1.96/(3*SQRT(G23)))^3)/$E$8))</f>
        <v>3105.664211602931</v>
      </c>
      <c r="J23" s="213">
        <f>IF(LEFT(G23,1)=" "," n/a",IF(G23&lt;5,100000*VLOOKUP(G23,'Hide - Calculation'!AQ:AS,3,FALSE)/$E$8,100000*((G23+1)*(1-1/(9*(G23+1))+1.96/(3*SQRT(G23+1)))^3)/$E$8))</f>
        <v>3710.846916514529</v>
      </c>
      <c r="K23" s="214">
        <f>IF('Hide - Calculation'!N17="","",'Hide - Calculation'!N17)</f>
        <v>2601.5001059459532</v>
      </c>
      <c r="L23" s="215">
        <f>'Hide - Calculation'!O17</f>
        <v>1981.9429445600304</v>
      </c>
      <c r="M23" s="169" t="str">
        <f>IF(ISBLANK('Hide - Calculation'!K17),"",FIXED('Hide - Calculation'!U17,0))</f>
        <v>1,057</v>
      </c>
      <c r="N23" s="170"/>
      <c r="O23" s="171"/>
      <c r="P23" s="171"/>
      <c r="Q23" s="171"/>
      <c r="R23" s="172"/>
      <c r="S23" s="172"/>
      <c r="T23" s="172"/>
      <c r="U23" s="172"/>
      <c r="V23" s="172"/>
      <c r="W23" s="172"/>
      <c r="X23" s="172"/>
      <c r="Y23" s="172"/>
      <c r="Z23" s="173"/>
      <c r="AA23" s="169" t="str">
        <f>IF(ISBLANK('Hide - Calculation'!K17),"",FIXED('Hide - Calculation'!T17,0))</f>
        <v>5,421</v>
      </c>
      <c r="AB23" s="230" t="s">
        <v>26</v>
      </c>
      <c r="AC23" s="174" t="s">
        <v>962</v>
      </c>
    </row>
    <row r="24" spans="2:29" s="63" customFormat="1" ht="33.75" customHeight="1">
      <c r="B24" s="327"/>
      <c r="C24" s="136">
        <v>12</v>
      </c>
      <c r="D24" s="146" t="s">
        <v>265</v>
      </c>
      <c r="E24" s="85"/>
      <c r="F24" s="85"/>
      <c r="G24" s="117">
        <f>IF(VLOOKUP('Hide - Control'!A$3,'All practice data'!A:CA,C24+4,FALSE)=" "," ",VLOOKUP('Hide - Control'!A$3,'All practice data'!A:CA,C24+4,FALSE))</f>
        <v>496</v>
      </c>
      <c r="H24" s="118">
        <f>IF(VLOOKUP('Hide - Control'!A$3,'All practice data'!A:CA,C24+30,FALSE)=" "," ",VLOOKUP('Hide - Control'!A$3,'All practice data'!A:CA,C24+30,FALSE))</f>
        <v>1.4098</v>
      </c>
      <c r="I24" s="210">
        <f>IF(LEFT(VLOOKUP('Hide - Control'!A$3,'All practice data'!A:CA,C24+44,FALSE),1)=" "," n/a",VLOOKUP('Hide - Control'!A$3,'All practice data'!A:CA,C24+44,FALSE))</f>
        <v>1.2884</v>
      </c>
      <c r="J24" s="210">
        <f>IF(LEFT(VLOOKUP('Hide - Control'!A$3,'All practice data'!A:CA,C24+45,FALSE),1)=" "," n/a",VLOOKUP('Hide - Control'!A$3,'All practice data'!A:CA,C24+45,FALSE))</f>
        <v>1.5394999999999999</v>
      </c>
      <c r="K24" s="151" t="s">
        <v>378</v>
      </c>
      <c r="L24" s="211">
        <v>1</v>
      </c>
      <c r="M24" s="151" t="str">
        <f>IF(ISBLANK('Hide - Calculation'!K18),"",FIXED(100*'Hide - Calculation'!U18,1)&amp;"%")</f>
        <v>52.7%</v>
      </c>
      <c r="N24" s="86"/>
      <c r="O24" s="87"/>
      <c r="P24" s="87"/>
      <c r="Q24" s="87"/>
      <c r="R24" s="84"/>
      <c r="S24" s="84"/>
      <c r="T24" s="84"/>
      <c r="U24" s="84"/>
      <c r="V24" s="84"/>
      <c r="W24" s="84"/>
      <c r="X24" s="84"/>
      <c r="Y24" s="84"/>
      <c r="Z24" s="88"/>
      <c r="AA24" s="151" t="str">
        <f>IF(ISBLANK('Hide - Calculation'!K18),"",FIXED(100*'Hide - Calculation'!T18,1)&amp;"%")</f>
        <v>270.7%</v>
      </c>
      <c r="AB24" s="231" t="s">
        <v>26</v>
      </c>
      <c r="AC24" s="130" t="s">
        <v>962</v>
      </c>
    </row>
    <row r="25" spans="2:29" s="63" customFormat="1" ht="33.75" customHeight="1">
      <c r="B25" s="327"/>
      <c r="C25" s="136">
        <v>13</v>
      </c>
      <c r="D25" s="146" t="s">
        <v>189</v>
      </c>
      <c r="E25" s="85"/>
      <c r="F25" s="85"/>
      <c r="G25" s="117">
        <f>IF(VLOOKUP('Hide - Control'!A$3,'All practice data'!A:CA,C25+4,FALSE)=" "," ",VLOOKUP('Hide - Control'!A$3,'All practice data'!A:CA,C25+4,FALSE))</f>
        <v>62</v>
      </c>
      <c r="H25" s="118">
        <f>IF(VLOOKUP('Hide - Control'!A$3,'All practice data'!A:CA,C25+30,FALSE)=" "," ",VLOOKUP('Hide - Control'!A$3,'All practice data'!A:CA,C25+30,FALSE))</f>
        <v>0.125</v>
      </c>
      <c r="I25" s="119">
        <f>IF(LEFT(G25,1)=" "," n/a",IF(G25=0," n/a",+((2*G25+1.96^2-1.96*SQRT(1.96^2+4*G25*(1-G25/G23)))/(2*(G23+1.96^2)))))</f>
        <v>0.09874583184083086</v>
      </c>
      <c r="J25" s="119">
        <f>IF(LEFT(G25,1)=" "," n/a",IF(G25=0," n/a",+((2*G25+1.96^2+1.96*SQRT(1.96^2+4*G25*(1-G25/G23)))/(2*(G23+1.96^2)))))</f>
        <v>0.15701839426599978</v>
      </c>
      <c r="K25" s="124">
        <f>IF('Hide - Calculation'!N19="","",'Hide - Calculation'!N19)</f>
        <v>0.11321961620469083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28.2%</v>
      </c>
      <c r="AB25" s="231" t="s">
        <v>26</v>
      </c>
      <c r="AC25" s="130" t="s">
        <v>962</v>
      </c>
    </row>
    <row r="26" spans="2:29" s="63" customFormat="1" ht="33.75" customHeight="1">
      <c r="B26" s="327"/>
      <c r="C26" s="136">
        <v>14</v>
      </c>
      <c r="D26" s="146" t="s">
        <v>253</v>
      </c>
      <c r="E26" s="85"/>
      <c r="F26" s="85"/>
      <c r="G26" s="120">
        <f>IF(VLOOKUP('Hide - Control'!A$3,'All practice data'!A:CA,C26+4,FALSE)=" "," ",VLOOKUP('Hide - Control'!A$3,'All practice data'!A:CA,C26+4,FALSE))</f>
        <v>137</v>
      </c>
      <c r="H26" s="118">
        <f>IF(VLOOKUP('Hide - Control'!A$3,'All practice data'!A:CA,C26+30,FALSE)=" "," ",VLOOKUP('Hide - Control'!A$3,'All practice data'!A:CA,C26+30,FALSE))</f>
        <v>0.45255474452554745</v>
      </c>
      <c r="I26" s="119">
        <f>IF(OR(LEFT(G26,1)=" ",LEFT(G25,1)=" ")," n/a",IF(G26=0," n/a",+((2*G25+1.96^2-1.96*SQRT(1.96^2+4*G25*(1-G25/G26)))/(2*(G26+1.96^2)))))</f>
        <v>0.37163400415030007</v>
      </c>
      <c r="J26" s="119">
        <f>IF(OR(LEFT(G26,1)=" ",LEFT(G25,1)=" ")," n/a",IF(G26=0," n/a",+((2*G25+1.96^2+1.96*SQRT(1.96^2+4*G25*(1-G25/G26)))/(2*(G26+1.96^2)))))</f>
        <v>0.5360637215216605</v>
      </c>
      <c r="K26" s="124">
        <f>IF('Hide - Calculation'!N20="","",'Hide - Calculation'!N20)</f>
        <v>0.5002826455624647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76.2%</v>
      </c>
      <c r="AB26" s="231" t="s">
        <v>26</v>
      </c>
      <c r="AC26" s="130" t="s">
        <v>962</v>
      </c>
    </row>
    <row r="27" spans="2:29" s="63" customFormat="1" ht="33.75" customHeight="1">
      <c r="B27" s="327"/>
      <c r="C27" s="136">
        <v>15</v>
      </c>
      <c r="D27" s="146" t="s">
        <v>242</v>
      </c>
      <c r="E27" s="85"/>
      <c r="F27" s="85"/>
      <c r="G27" s="120">
        <f>IF(VLOOKUP('Hide - Control'!A$3,'All practice data'!A:CA,C27+4,FALSE)=" "," ",VLOOKUP('Hide - Control'!A$3,'All practice data'!A:CA,C27+4,FALSE))</f>
        <v>56</v>
      </c>
      <c r="H27" s="121">
        <f>IF(VLOOKUP('Hide - Control'!A$3,'All practice data'!A:CA,C27+30,FALSE)=" "," ",VLOOKUP('Hide - Control'!A$3,'All practice data'!A:CA,C27+30,FALSE))</f>
        <v>383.66675801589474</v>
      </c>
      <c r="I27" s="122">
        <f>IF(LEFT(G27,1)=" "," n/a",IF(G27&lt;5,100000*VLOOKUP(G27,'Hide - Calculation'!AQ:AR,2,FALSE)/$E$8,100000*(G27*(1-1/(9*G27)-1.96/(3*SQRT(G27)))^3)/$E$8))</f>
        <v>289.79791216867267</v>
      </c>
      <c r="J27" s="122">
        <f>IF(LEFT(G27,1)=" "," n/a",IF(G27&lt;5,100000*VLOOKUP(G27,'Hide - Calculation'!AQ:AS,3,FALSE)/$E$8,100000*((G27+1)*(1-1/(9*(G27+1))+1.96/(3*SQRT(G27+1)))^3)/$E$8))</f>
        <v>498.23466444777574</v>
      </c>
      <c r="K27" s="121">
        <f>IF('Hide - Calculation'!N21="","",'Hide - Calculation'!N21)</f>
        <v>451.0746025917376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974</v>
      </c>
      <c r="AB27" s="231" t="s">
        <v>26</v>
      </c>
      <c r="AC27" s="130" t="s">
        <v>962</v>
      </c>
    </row>
    <row r="28" spans="2:29" s="63" customFormat="1" ht="33.75" customHeight="1">
      <c r="B28" s="327"/>
      <c r="C28" s="136">
        <v>16</v>
      </c>
      <c r="D28" s="146" t="s">
        <v>243</v>
      </c>
      <c r="E28" s="85"/>
      <c r="F28" s="85"/>
      <c r="G28" s="120">
        <f>IF(VLOOKUP('Hide - Control'!A$3,'All practice data'!A:CA,C28+4,FALSE)=" "," ",VLOOKUP('Hide - Control'!A$3,'All practice data'!A:CA,C28+4,FALSE))</f>
        <v>109</v>
      </c>
      <c r="H28" s="121">
        <f>IF(VLOOKUP('Hide - Control'!A$3,'All practice data'!A:CA,C28+30,FALSE)=" "," ",VLOOKUP('Hide - Control'!A$3,'All practice data'!A:CA,C28+30,FALSE))</f>
        <v>746.7799397095094</v>
      </c>
      <c r="I28" s="122">
        <f>IF(LEFT(G28,1)=" "," n/a",IF(G28&lt;5,100000*VLOOKUP(G28,'Hide - Calculation'!AQ:AR,2,FALSE)/$E$8,100000*(G28*(1-1/(9*G28)-1.96/(3*SQRT(G28)))^3)/$E$8))</f>
        <v>613.1694978731343</v>
      </c>
      <c r="J28" s="122">
        <f>IF(LEFT(G28,1)=" "," n/a",IF(G28&lt;5,100000*VLOOKUP(G28,'Hide - Calculation'!AQ:AS,3,FALSE)/$E$8,100000*((G28+1)*(1-1/(9*(G28+1))+1.96/(3*SQRT(G28+1)))^3)/$E$8))</f>
        <v>900.8493991368861</v>
      </c>
      <c r="K28" s="121">
        <f>IF('Hide - Calculation'!N22="","",'Hide - Calculation'!N22)</f>
        <v>464.05436857876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1,028</v>
      </c>
      <c r="AB28" s="231" t="s">
        <v>26</v>
      </c>
      <c r="AC28" s="130" t="s">
        <v>962</v>
      </c>
    </row>
    <row r="29" spans="2:29" s="63" customFormat="1" ht="33.75" customHeight="1">
      <c r="B29" s="327"/>
      <c r="C29" s="136">
        <v>17</v>
      </c>
      <c r="D29" s="146" t="s">
        <v>244</v>
      </c>
      <c r="E29" s="85"/>
      <c r="F29" s="85"/>
      <c r="G29" s="120">
        <f>IF(VLOOKUP('Hide - Control'!A$3,'All practice data'!A:CA,C29+4,FALSE)=" "," ",VLOOKUP('Hide - Control'!A$3,'All practice data'!A:CA,C29+4,FALSE))</f>
        <v>8</v>
      </c>
      <c r="H29" s="121">
        <f>IF(VLOOKUP('Hide - Control'!A$3,'All practice data'!A:CA,C29+30,FALSE)=" "," ",VLOOKUP('Hide - Control'!A$3,'All practice data'!A:CA,C29+30,FALSE))</f>
        <v>54.80953685941354</v>
      </c>
      <c r="I29" s="122">
        <f>IF(LEFT(G29,1)=" "," n/a",IF(G29&lt;5,100000*VLOOKUP(G29,'Hide - Calculation'!AQ:AR,2,FALSE)/$E$8,100000*(G29*(1-1/(9*G29)-1.96/(3*SQRT(G29)))^3)/$E$8))</f>
        <v>23.599839433130406</v>
      </c>
      <c r="J29" s="122">
        <f>IF(LEFT(G29,1)=" "," n/a",IF(G29&lt;5,100000*VLOOKUP(G29,'Hide - Calculation'!AQ:AS,3,FALSE)/$E$8,100000*((G29+1)*(1-1/(9*(G29+1))+1.96/(3*SQRT(G29+1)))^3)/$E$8))</f>
        <v>108.00327138929322</v>
      </c>
      <c r="K29" s="121">
        <f>IF('Hide - Calculation'!N23="","",'Hide - Calculation'!N23)</f>
        <v>87.97396946759662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236</v>
      </c>
      <c r="AB29" s="231" t="s">
        <v>26</v>
      </c>
      <c r="AC29" s="130" t="s">
        <v>962</v>
      </c>
    </row>
    <row r="30" spans="2:29" s="63" customFormat="1" ht="33.75" customHeight="1" thickBot="1">
      <c r="B30" s="328"/>
      <c r="C30" s="179">
        <v>18</v>
      </c>
      <c r="D30" s="180" t="s">
        <v>245</v>
      </c>
      <c r="E30" s="181"/>
      <c r="F30" s="181"/>
      <c r="G30" s="182">
        <f>IF(VLOOKUP('Hide - Control'!A$3,'All practice data'!A:CA,C30+4,FALSE)=" "," ",VLOOKUP('Hide - Control'!A$3,'All practice data'!A:CA,C30+4,FALSE))</f>
        <v>126</v>
      </c>
      <c r="H30" s="183">
        <f>IF(VLOOKUP('Hide - Control'!A$3,'All practice data'!A:CA,C30+30,FALSE)=" "," ",VLOOKUP('Hide - Control'!A$3,'All practice data'!A:CA,C30+30,FALSE))</f>
        <v>863.2502055357633</v>
      </c>
      <c r="I30" s="184">
        <f>IF(LEFT(G30,1)=" "," n/a",IF(G30&lt;5,100000*VLOOKUP(G30,'Hide - Calculation'!AQ:AR,2,FALSE)/$E$8,100000*(G30*(1-1/(9*G30)-1.96/(3*SQRT(G30)))^3)/$E$8))</f>
        <v>719.0967429728116</v>
      </c>
      <c r="J30" s="184">
        <f>IF(LEFT(G30,1)=" "," n/a",IF(G30&lt;5,100000*VLOOKUP(G30,'Hide - Calculation'!AQ:AS,3,FALSE)/$E$8,100000*((G30+1)*(1-1/(9*(G30+1))+1.96/(3*SQRT(G30+1)))^3)/$E$8))</f>
        <v>1027.8196965901384</v>
      </c>
      <c r="K30" s="183">
        <f>IF('Hide - Calculation'!N24="","",'Hide - Calculation'!N24)</f>
        <v>495.22799458177974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1,413</v>
      </c>
      <c r="AB30" s="232" t="s">
        <v>26</v>
      </c>
      <c r="AC30" s="188" t="s">
        <v>962</v>
      </c>
    </row>
    <row r="31" spans="2:29" s="63" customFormat="1" ht="33.75" customHeight="1">
      <c r="B31" s="329" t="s">
        <v>190</v>
      </c>
      <c r="C31" s="162">
        <v>19</v>
      </c>
      <c r="D31" s="163" t="s">
        <v>194</v>
      </c>
      <c r="E31" s="164"/>
      <c r="F31" s="164"/>
      <c r="G31" s="165">
        <f>IF(VLOOKUP('Hide - Control'!A$3,'All practice data'!A:CA,C31+4,FALSE)=" "," ",VLOOKUP('Hide - Control'!A$3,'All practice data'!A:CA,C31+4,FALSE))</f>
        <v>135</v>
      </c>
      <c r="H31" s="166">
        <f>IF(VLOOKUP('Hide - Control'!A$3,'All practice data'!A:CA,C31+30,FALSE)=" "," ",VLOOKUP('Hide - Control'!A$3,'All practice data'!A:CA,C31+30,FALSE))</f>
        <v>924.9109345026035</v>
      </c>
      <c r="I31" s="167">
        <f>IF(LEFT(G31,1)=" "," n/a",IF(G31&lt;5,100000*VLOOKUP(G31,'Hide - Calculation'!AQ:AR,2,FALSE)/$E$8,100000*(G31*(1-1/(9*G31)-1.96/(3*SQRT(G31)))^3)/$E$8))</f>
        <v>775.4641547877</v>
      </c>
      <c r="J31" s="167">
        <f>IF(LEFT(G31,1)=" "," n/a",IF(G31&lt;5,100000*VLOOKUP(G31,'Hide - Calculation'!AQ:AS,3,FALSE)/$E$8,100000*((G31+1)*(1-1/(9*(G31+1))+1.96/(3*SQRT(G31+1)))^3)/$E$8))</f>
        <v>1094.7542972371866</v>
      </c>
      <c r="K31" s="166">
        <f>IF('Hide - Calculation'!N25="","",'Hide - Calculation'!N25)</f>
        <v>748.1670240724737</v>
      </c>
      <c r="L31" s="168">
        <f>'Hide - Calculation'!O25</f>
        <v>623.2878522577265</v>
      </c>
      <c r="M31" s="169" t="str">
        <f>IF(ISBLANK('Hide - Calculation'!K25),"",FIXED('Hide - Calculation'!U25,0))</f>
        <v>189</v>
      </c>
      <c r="N31" s="170"/>
      <c r="O31" s="171"/>
      <c r="P31" s="171"/>
      <c r="Q31" s="171"/>
      <c r="R31" s="172"/>
      <c r="S31" s="172"/>
      <c r="T31" s="172"/>
      <c r="U31" s="172"/>
      <c r="V31" s="172"/>
      <c r="W31" s="172"/>
      <c r="X31" s="172"/>
      <c r="Y31" s="172"/>
      <c r="Z31" s="173"/>
      <c r="AA31" s="169" t="str">
        <f>IF(ISBLANK('Hide - Calculation'!K25),"",FIXED('Hide - Calculation'!T25,0))</f>
        <v>1,312</v>
      </c>
      <c r="AB31" s="230" t="s">
        <v>47</v>
      </c>
      <c r="AC31" s="174" t="s">
        <v>962</v>
      </c>
    </row>
    <row r="32" spans="2:29" s="63" customFormat="1" ht="33.75" customHeight="1">
      <c r="B32" s="330"/>
      <c r="C32" s="136">
        <v>20</v>
      </c>
      <c r="D32" s="131" t="s">
        <v>195</v>
      </c>
      <c r="E32" s="85"/>
      <c r="F32" s="85"/>
      <c r="G32" s="120">
        <f>IF(VLOOKUP('Hide - Control'!A$3,'All practice data'!A:CA,C32+4,FALSE)=" "," ",VLOOKUP('Hide - Control'!A$3,'All practice data'!A:CA,C32+4,FALSE))</f>
        <v>15</v>
      </c>
      <c r="H32" s="121">
        <f>IF(VLOOKUP('Hide - Control'!A$3,'All practice data'!A:CA,C32+30,FALSE)=" "," ",VLOOKUP('Hide - Control'!A$3,'All practice data'!A:CA,C32+30,FALSE))</f>
        <v>102.76788161140038</v>
      </c>
      <c r="I32" s="122">
        <f>IF(LEFT(G32,1)=" "," n/a",IF(G32&lt;5,100000*VLOOKUP(G32,'Hide - Calculation'!AQ:AR,2,FALSE)/$E$8,100000*(G32*(1-1/(9*G32)-1.96/(3*SQRT(G32)))^3)/$E$8))</f>
        <v>57.475810679099965</v>
      </c>
      <c r="J32" s="122">
        <f>IF(LEFT(G32,1)=" "," n/a",IF(G32&lt;5,100000*VLOOKUP(G32,'Hide - Calculation'!AQ:AS,3,FALSE)/$E$8,100000*((G32+1)*(1-1/(9*(G32+1))+1.96/(3*SQRT(G32+1)))^3)/$E$8))</f>
        <v>169.51098922520822</v>
      </c>
      <c r="K32" s="121">
        <f>IF('Hide - Calculation'!N26="","",'Hide - Calculation'!N26)</f>
        <v>334.03483236687697</v>
      </c>
      <c r="L32" s="155">
        <f>'Hide - Calculation'!O26</f>
        <v>432.5467854266958</v>
      </c>
      <c r="M32" s="147" t="str">
        <f>IF(ISBLANK('Hide - Calculation'!K26),"",FIXED('Hide - Calculation'!U26,0))</f>
        <v>86</v>
      </c>
      <c r="N32" s="86"/>
      <c r="O32" s="87"/>
      <c r="P32" s="87"/>
      <c r="Q32" s="87"/>
      <c r="R32" s="84"/>
      <c r="S32" s="84"/>
      <c r="T32" s="84"/>
      <c r="U32" s="84"/>
      <c r="V32" s="84"/>
      <c r="W32" s="84"/>
      <c r="X32" s="84"/>
      <c r="Y32" s="84"/>
      <c r="Z32" s="88"/>
      <c r="AA32" s="147" t="str">
        <f>IF(ISBLANK('Hide - Calculation'!K26),"",FIXED('Hide - Calculation'!T26,0))</f>
        <v>1,101</v>
      </c>
      <c r="AB32" s="231" t="s">
        <v>47</v>
      </c>
      <c r="AC32" s="130" t="s">
        <v>962</v>
      </c>
    </row>
    <row r="33" spans="2:29" s="63" customFormat="1" ht="33.75" customHeight="1">
      <c r="B33" s="330"/>
      <c r="C33" s="136">
        <v>21</v>
      </c>
      <c r="D33" s="131" t="s">
        <v>197</v>
      </c>
      <c r="E33" s="85"/>
      <c r="F33" s="85"/>
      <c r="G33" s="120">
        <f>IF(VLOOKUP('Hide - Control'!A$3,'All practice data'!A:CA,C33+4,FALSE)=" "," ",VLOOKUP('Hide - Control'!A$3,'All practice data'!A:CA,C33+4,FALSE))</f>
        <v>106</v>
      </c>
      <c r="H33" s="121">
        <f>IF(VLOOKUP('Hide - Control'!A$3,'All practice data'!A:CA,C33+30,FALSE)=" "," ",VLOOKUP('Hide - Control'!A$3,'All practice data'!A:CA,C33+30,FALSE))</f>
        <v>726.2263633872294</v>
      </c>
      <c r="I33" s="122">
        <f>IF(LEFT(G33,1)=" "," n/a",IF(G33&lt;5,100000*VLOOKUP(G33,'Hide - Calculation'!AQ:AR,2,FALSE)/$E$8,100000*(G33*(1-1/(9*G33)-1.96/(3*SQRT(G33)))^3)/$E$8))</f>
        <v>594.5599358598441</v>
      </c>
      <c r="J33" s="122">
        <f>IF(LEFT(G33,1)=" "," n/a",IF(G33&lt;5,100000*VLOOKUP(G33,'Hide - Calculation'!AQ:AS,3,FALSE)/$E$8,100000*((G33+1)*(1-1/(9*(G33+1))+1.96/(3*SQRT(G33+1)))^3)/$E$8))</f>
        <v>878.3604316121358</v>
      </c>
      <c r="K33" s="121">
        <f>IF('Hide - Calculation'!N27="","",'Hide - Calculation'!N27)</f>
        <v>903.4804632334261</v>
      </c>
      <c r="L33" s="155">
        <f>'Hide - Calculation'!O27</f>
        <v>1003.4847591501348</v>
      </c>
      <c r="M33" s="147" t="str">
        <f>IF(ISBLANK('Hide - Calculation'!K27),"",FIXED('Hide - Calculation'!U27,0))</f>
        <v>257</v>
      </c>
      <c r="N33" s="86"/>
      <c r="O33" s="87"/>
      <c r="P33" s="87"/>
      <c r="Q33" s="87"/>
      <c r="R33" s="84"/>
      <c r="S33" s="84"/>
      <c r="T33" s="84"/>
      <c r="U33" s="84"/>
      <c r="V33" s="84"/>
      <c r="W33" s="84"/>
      <c r="X33" s="84"/>
      <c r="Y33" s="84"/>
      <c r="Z33" s="88"/>
      <c r="AA33" s="147" t="str">
        <f>IF(ISBLANK('Hide - Calculation'!K27),"",FIXED('Hide - Calculation'!T27,0))</f>
        <v>1,714</v>
      </c>
      <c r="AB33" s="231" t="s">
        <v>47</v>
      </c>
      <c r="AC33" s="130" t="s">
        <v>962</v>
      </c>
    </row>
    <row r="34" spans="2:29" s="63" customFormat="1" ht="33.75" customHeight="1">
      <c r="B34" s="330"/>
      <c r="C34" s="136">
        <v>22</v>
      </c>
      <c r="D34" s="131" t="s">
        <v>196</v>
      </c>
      <c r="E34" s="85"/>
      <c r="F34" s="85"/>
      <c r="G34" s="117">
        <f>IF(VLOOKUP('Hide - Control'!A$3,'All practice data'!A:CA,C34+4,FALSE)=" "," ",VLOOKUP('Hide - Control'!A$3,'All practice data'!A:CA,C34+4,FALSE))</f>
        <v>95</v>
      </c>
      <c r="H34" s="121">
        <f>IF(VLOOKUP('Hide - Control'!A$3,'All practice data'!A:CA,C34+30,FALSE)=" "," ",VLOOKUP('Hide - Control'!A$3,'All practice data'!A:CA,C34+30,FALSE))</f>
        <v>650.8632502055358</v>
      </c>
      <c r="I34" s="122">
        <f>IF(LEFT(G34,1)=" "," n/a",IF(G34&lt;5,100000*VLOOKUP(G34,'Hide - Calculation'!AQ:AR,2,FALSE)/$E$8,100000*(G34*(1-1/(9*G34)-1.96/(3*SQRT(G34)))^3)/$E$8))</f>
        <v>526.5718305505188</v>
      </c>
      <c r="J34" s="122">
        <f>IF(LEFT(G34,1)=" "," n/a",IF(G34&lt;5,100000*VLOOKUP(G34,'Hide - Calculation'!AQ:AS,3,FALSE)/$E$8,100000*((G34+1)*(1-1/(9*(G34+1))+1.96/(3*SQRT(G34+1)))^3)/$E$8))</f>
        <v>795.6572854558593</v>
      </c>
      <c r="K34" s="121">
        <f>IF('Hide - Calculation'!N28="","",'Hide - Calculation'!N28)</f>
        <v>614.9302809065424</v>
      </c>
      <c r="L34" s="155">
        <f>'Hide - Calculation'!O28</f>
        <v>586.9262672471904</v>
      </c>
      <c r="M34" s="147" t="str">
        <f>IF(ISBLANK('Hide - Calculation'!K28),"",FIXED('Hide - Calculation'!U28,0))</f>
        <v>191</v>
      </c>
      <c r="N34" s="86"/>
      <c r="O34" s="87"/>
      <c r="P34" s="87"/>
      <c r="Q34" s="87"/>
      <c r="R34" s="84"/>
      <c r="S34" s="84"/>
      <c r="T34" s="84"/>
      <c r="U34" s="84"/>
      <c r="V34" s="84"/>
      <c r="W34" s="84"/>
      <c r="X34" s="84"/>
      <c r="Y34" s="84"/>
      <c r="Z34" s="88"/>
      <c r="AA34" s="147" t="str">
        <f>IF(ISBLANK('Hide - Calculation'!K28),"",FIXED('Hide - Calculation'!T28,0))</f>
        <v>1,249</v>
      </c>
      <c r="AB34" s="231" t="s">
        <v>47</v>
      </c>
      <c r="AC34" s="130" t="s">
        <v>966</v>
      </c>
    </row>
    <row r="35" spans="2:29" s="63" customFormat="1" ht="33.75" customHeight="1">
      <c r="B35" s="330"/>
      <c r="C35" s="136">
        <v>23</v>
      </c>
      <c r="D35" s="137" t="s">
        <v>246</v>
      </c>
      <c r="E35" s="138"/>
      <c r="F35" s="138"/>
      <c r="G35" s="139">
        <f>IF(VLOOKUP('Hide - Control'!A$3,'All practice data'!A:CA,C35+4,FALSE)=" "," ",VLOOKUP('Hide - Control'!A$3,'All practice data'!A:CA,C35+4,FALSE))</f>
        <v>13</v>
      </c>
      <c r="H35" s="140">
        <f>IF(OR(VLOOKUP('Hide - Control'!A$3,'All practice data'!A:CA,C35+30,FALSE)=" ",SUM(G35:G37)=0)," n/a",VLOOKUP('Hide - Control'!A$3,'All practice data'!A:CA,C35+30,FALSE))</f>
        <v>0.15476190476190477</v>
      </c>
      <c r="I35" s="141">
        <f>IF(OR(SUM(G$35:$G37)=0,LEFT(G35,1)=" ")," n/a",+((2*G35+1.96^2-1.96*SQRT(1.96^2+4*G35*(1-G35/SUM(G$35:G$37))))/(2*(SUM(G$35:G$37)+1.96^2))))</f>
        <v>0.0927322280542013</v>
      </c>
      <c r="J35" s="141">
        <f>IF(OR(SUM(G$35:$G37)=0,LEFT(G35,1)=" ")," n/a",+((2*G35+1.96^2+1.96*SQRT(1.96^2+4*G35*(1-G35/SUM(G$35:G$37))))/(2*(SUM(G$35:G$37)+1.96^2))))</f>
        <v>0.24698835991323098</v>
      </c>
      <c r="K35" s="142">
        <f>IF('Hide - Calculation'!N29="","",'Hide - Calculation'!N29)</f>
        <v>0.21804360872174436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43.3%</v>
      </c>
      <c r="AB35" s="231" t="s">
        <v>183</v>
      </c>
      <c r="AC35" s="130" t="s">
        <v>967</v>
      </c>
    </row>
    <row r="36" spans="2:29" ht="33.75" customHeight="1">
      <c r="B36" s="327"/>
      <c r="C36" s="136">
        <v>24</v>
      </c>
      <c r="D36" s="222" t="s">
        <v>247</v>
      </c>
      <c r="E36" s="144"/>
      <c r="F36" s="144"/>
      <c r="G36" s="123">
        <f>IF(VLOOKUP('Hide - Control'!A$3,'All practice data'!A:CA,C36+4,FALSE)=" "," ",VLOOKUP('Hide - Control'!A$3,'All practice data'!A:CA,C36+4,FALSE))</f>
        <v>49</v>
      </c>
      <c r="H36" s="145">
        <f>IF(OR(VLOOKUP('Hide - Control'!A$3,'All practice data'!A:CA,C36+30,FALSE)=" ",SUM(G35:G37)=0)," n/a",VLOOKUP('Hide - Control'!A$3,'All practice data'!A:CA,C36+30,FALSE))</f>
        <v>0.5833333333333334</v>
      </c>
      <c r="I36" s="119">
        <f>IF(OR(SUM(G$35:$G37)=0,LEFT(G36,1)=" ")," n/a",+((2*G36+1.96^2-1.96*SQRT(1.96^2+4*G36*(1-G36/SUM(G$35:G$37))))/(2*(SUM(G$35:G$37)+1.96^2))))</f>
        <v>0.47652448676126635</v>
      </c>
      <c r="J36" s="119">
        <f>IF(OR(SUM(G$35:$G37)=0,LEFT(G36,1)=" ")," n/a",+((2*G36+1.96^2+1.96*SQRT(1.96^2+4*G36*(1-G36/SUM(G$35:G$37))))/(2*(SUM(G$35:G$37)+1.96^2))))</f>
        <v>0.682853302350043</v>
      </c>
      <c r="K36" s="145">
        <f>IF('Hide - Calculation'!N30="","",'Hide - Calculation'!N30)</f>
        <v>0.5187037407481496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78.6%</v>
      </c>
      <c r="AB36" s="231" t="s">
        <v>183</v>
      </c>
      <c r="AC36" s="130" t="s">
        <v>967</v>
      </c>
    </row>
    <row r="37" spans="2:29" ht="33.75" customHeight="1" thickBot="1">
      <c r="B37" s="331"/>
      <c r="C37" s="175">
        <v>25</v>
      </c>
      <c r="D37" s="176" t="s">
        <v>198</v>
      </c>
      <c r="E37" s="177"/>
      <c r="F37" s="177"/>
      <c r="G37" s="125">
        <f>IF(VLOOKUP('Hide - Control'!A$3,'All practice data'!A:CA,C37+4,FALSE)=" "," ",VLOOKUP('Hide - Control'!A$3,'All practice data'!A:CA,C37+4,FALSE))</f>
        <v>22</v>
      </c>
      <c r="H37" s="126">
        <f>IF(OR(VLOOKUP('Hide - Control'!A$3,'All practice data'!A:CA,C37+30,FALSE)=" ",SUM(G35:G37)=0)," n/a",VLOOKUP('Hide - Control'!A$3,'All practice data'!A:CA,C37+30,FALSE))</f>
        <v>0.2619047619047619</v>
      </c>
      <c r="I37" s="143">
        <f>IF(OR(SUM(G$35:$G37)=0,LEFT(G37,1)=" ")," n/a",+((2*G37+1.96^2-1.96*SQRT(1.96^2+4*G37*(1-G37/SUM(G$35:G$37))))/(2*(SUM(G$35:G$37)+1.96^2))))</f>
        <v>0.1797835031577335</v>
      </c>
      <c r="J37" s="143">
        <f>IF(OR(SUM(G$35:$G37)=0,LEFT(G37,1)=" ")," n/a",+((2*G37+1.96^2+1.96*SQRT(1.96^2+4*G37*(1-G37/SUM(G$35:G$37))))/(2*(SUM(G$35:G$37)+1.96^2))))</f>
        <v>0.36485138509566806</v>
      </c>
      <c r="K37" s="126">
        <f>IF('Hide - Calculation'!N31="","",'Hide - Calculation'!N31)</f>
        <v>0.26325265053010605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52.4%</v>
      </c>
      <c r="AB37" s="233" t="s">
        <v>183</v>
      </c>
      <c r="AC37" s="148" t="s">
        <v>967</v>
      </c>
    </row>
    <row r="38" spans="2:29" ht="23.25" customHeight="1">
      <c r="B38" s="69"/>
      <c r="C38" s="69"/>
      <c r="D38" s="65" t="s">
        <v>181</v>
      </c>
      <c r="E38" s="303" t="s">
        <v>971</v>
      </c>
      <c r="F38" s="303"/>
      <c r="G38" s="303"/>
      <c r="H38" s="303"/>
      <c r="I38" s="110"/>
      <c r="J38" s="299" t="s">
        <v>979</v>
      </c>
      <c r="K38" s="92"/>
      <c r="L38" s="110"/>
      <c r="M38" s="65"/>
      <c r="N38" s="65"/>
      <c r="O38" s="65"/>
      <c r="P38" s="65"/>
      <c r="Q38" s="65"/>
      <c r="R38" s="66"/>
      <c r="S38" s="66"/>
      <c r="T38" s="66"/>
      <c r="U38" s="66"/>
      <c r="V38" s="66"/>
      <c r="W38" s="66"/>
      <c r="X38" s="66"/>
      <c r="Y38" s="66"/>
      <c r="Z38" s="66"/>
      <c r="AA38" s="66"/>
      <c r="AB38" s="82"/>
      <c r="AC38" s="83"/>
    </row>
    <row r="39" spans="2:29" ht="23.25" customHeight="1">
      <c r="B39" s="242" t="s">
        <v>969</v>
      </c>
      <c r="C39" s="241"/>
      <c r="D39" s="241"/>
      <c r="E39" s="304"/>
      <c r="F39" s="304"/>
      <c r="G39" s="304"/>
      <c r="H39" s="304"/>
      <c r="I39" s="241"/>
      <c r="J39" s="299" t="s">
        <v>968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264</v>
      </c>
      <c r="BE2" s="342"/>
      <c r="BF2" s="342"/>
      <c r="BG2" s="342"/>
      <c r="BH2" s="342"/>
      <c r="BI2" s="342"/>
      <c r="BJ2" s="343"/>
    </row>
    <row r="3" spans="1:82" s="72" customFormat="1" ht="76.5" customHeight="1">
      <c r="A3" s="263" t="s">
        <v>51</v>
      </c>
      <c r="B3" s="272" t="s">
        <v>52</v>
      </c>
      <c r="C3" s="273" t="s">
        <v>49</v>
      </c>
      <c r="D3" s="271" t="s">
        <v>977</v>
      </c>
      <c r="E3" s="264" t="s">
        <v>204</v>
      </c>
      <c r="F3" s="264" t="s">
        <v>978</v>
      </c>
      <c r="G3" s="264" t="s">
        <v>206</v>
      </c>
      <c r="H3" s="264" t="s">
        <v>207</v>
      </c>
      <c r="I3" s="264" t="s">
        <v>208</v>
      </c>
      <c r="J3" s="264" t="s">
        <v>271</v>
      </c>
      <c r="K3" s="264" t="s">
        <v>272</v>
      </c>
      <c r="L3" s="264" t="s">
        <v>273</v>
      </c>
      <c r="M3" s="264" t="s">
        <v>209</v>
      </c>
      <c r="N3" s="264" t="s">
        <v>210</v>
      </c>
      <c r="O3" s="264" t="s">
        <v>211</v>
      </c>
      <c r="P3" s="264" t="s">
        <v>263</v>
      </c>
      <c r="Q3" s="264" t="s">
        <v>212</v>
      </c>
      <c r="R3" s="264" t="s">
        <v>213</v>
      </c>
      <c r="S3" s="264" t="s">
        <v>214</v>
      </c>
      <c r="T3" s="264" t="s">
        <v>215</v>
      </c>
      <c r="U3" s="264" t="s">
        <v>216</v>
      </c>
      <c r="V3" s="264" t="s">
        <v>217</v>
      </c>
      <c r="W3" s="264" t="s">
        <v>218</v>
      </c>
      <c r="X3" s="264" t="s">
        <v>219</v>
      </c>
      <c r="Y3" s="264" t="s">
        <v>220</v>
      </c>
      <c r="Z3" s="264" t="s">
        <v>221</v>
      </c>
      <c r="AA3" s="264" t="s">
        <v>222</v>
      </c>
      <c r="AB3" s="264" t="s">
        <v>223</v>
      </c>
      <c r="AC3" s="264" t="s">
        <v>224</v>
      </c>
      <c r="AD3" s="265" t="s">
        <v>225</v>
      </c>
      <c r="AE3" s="265" t="s">
        <v>204</v>
      </c>
      <c r="AF3" s="266" t="s">
        <v>205</v>
      </c>
      <c r="AG3" s="265" t="s">
        <v>206</v>
      </c>
      <c r="AH3" s="265" t="s">
        <v>207</v>
      </c>
      <c r="AI3" s="265" t="s">
        <v>208</v>
      </c>
      <c r="AJ3" s="265" t="s">
        <v>271</v>
      </c>
      <c r="AK3" s="265" t="s">
        <v>272</v>
      </c>
      <c r="AL3" s="265" t="s">
        <v>273</v>
      </c>
      <c r="AM3" s="265" t="s">
        <v>209</v>
      </c>
      <c r="AN3" s="265" t="s">
        <v>210</v>
      </c>
      <c r="AO3" s="265" t="s">
        <v>211</v>
      </c>
      <c r="AP3" s="265" t="s">
        <v>263</v>
      </c>
      <c r="AQ3" s="265" t="s">
        <v>212</v>
      </c>
      <c r="AR3" s="265" t="s">
        <v>213</v>
      </c>
      <c r="AS3" s="265" t="s">
        <v>214</v>
      </c>
      <c r="AT3" s="265" t="s">
        <v>215</v>
      </c>
      <c r="AU3" s="265" t="s">
        <v>216</v>
      </c>
      <c r="AV3" s="265" t="s">
        <v>217</v>
      </c>
      <c r="AW3" s="265" t="s">
        <v>218</v>
      </c>
      <c r="AX3" s="265" t="s">
        <v>219</v>
      </c>
      <c r="AY3" s="267" t="s">
        <v>220</v>
      </c>
      <c r="AZ3" s="268" t="s">
        <v>221</v>
      </c>
      <c r="BA3" s="268" t="s">
        <v>222</v>
      </c>
      <c r="BB3" s="268" t="s">
        <v>223</v>
      </c>
      <c r="BC3" s="269" t="s">
        <v>224</v>
      </c>
      <c r="BD3" s="270" t="s">
        <v>261</v>
      </c>
      <c r="BE3" s="270" t="s">
        <v>262</v>
      </c>
      <c r="BF3" s="270" t="s">
        <v>267</v>
      </c>
      <c r="BG3" s="270" t="s">
        <v>268</v>
      </c>
      <c r="BH3" s="270" t="s">
        <v>266</v>
      </c>
      <c r="BI3" s="270" t="s">
        <v>269</v>
      </c>
      <c r="BJ3" s="270" t="s">
        <v>270</v>
      </c>
      <c r="BK3" s="73"/>
      <c r="BL3" s="73"/>
      <c r="BM3" s="73"/>
      <c r="BN3" s="73"/>
      <c r="BO3" s="73"/>
      <c r="BP3" s="73"/>
      <c r="BQ3" s="73"/>
      <c r="BR3" s="73"/>
      <c r="BS3" s="73"/>
      <c r="BT3" s="73"/>
      <c r="BU3" s="73"/>
      <c r="BV3" s="73"/>
      <c r="BW3" s="73"/>
      <c r="BX3" s="73"/>
      <c r="BY3" s="73"/>
      <c r="BZ3" s="73"/>
      <c r="CA3" s="73"/>
      <c r="CB3" s="73"/>
      <c r="CC3" s="73"/>
      <c r="CD3" s="73"/>
    </row>
    <row r="4" spans="1:66" ht="12.75">
      <c r="A4" s="79" t="s">
        <v>405</v>
      </c>
      <c r="B4" s="79" t="s">
        <v>406</v>
      </c>
      <c r="C4" s="79" t="s">
        <v>392</v>
      </c>
      <c r="D4" s="99">
        <v>14596</v>
      </c>
      <c r="E4" s="99">
        <v>3493</v>
      </c>
      <c r="F4" s="99" t="s">
        <v>201</v>
      </c>
      <c r="G4" s="99">
        <v>64</v>
      </c>
      <c r="H4" s="99">
        <v>44</v>
      </c>
      <c r="I4" s="99">
        <v>366</v>
      </c>
      <c r="J4" s="99">
        <v>1882</v>
      </c>
      <c r="K4" s="99">
        <v>1798</v>
      </c>
      <c r="L4" s="99">
        <v>2563</v>
      </c>
      <c r="M4" s="99">
        <v>1390</v>
      </c>
      <c r="N4" s="99">
        <v>679</v>
      </c>
      <c r="O4" s="99">
        <v>496</v>
      </c>
      <c r="P4" s="158">
        <v>496</v>
      </c>
      <c r="Q4" s="99">
        <v>62</v>
      </c>
      <c r="R4" s="99">
        <v>137</v>
      </c>
      <c r="S4" s="99">
        <v>56</v>
      </c>
      <c r="T4" s="99">
        <v>109</v>
      </c>
      <c r="U4" s="99">
        <v>8</v>
      </c>
      <c r="V4" s="99">
        <v>126</v>
      </c>
      <c r="W4" s="99">
        <v>135</v>
      </c>
      <c r="X4" s="99">
        <v>15</v>
      </c>
      <c r="Y4" s="99">
        <v>106</v>
      </c>
      <c r="Z4" s="99">
        <v>95</v>
      </c>
      <c r="AA4" s="99">
        <v>13</v>
      </c>
      <c r="AB4" s="99">
        <v>49</v>
      </c>
      <c r="AC4" s="99">
        <v>22</v>
      </c>
      <c r="AD4" s="98" t="s">
        <v>181</v>
      </c>
      <c r="AE4" s="100">
        <v>0.23931214031241435</v>
      </c>
      <c r="AF4" s="100">
        <v>0.11</v>
      </c>
      <c r="AG4" s="98">
        <v>438.4762948753083</v>
      </c>
      <c r="AH4" s="98">
        <v>301.4524527267745</v>
      </c>
      <c r="AI4" s="100">
        <v>0.025099999999999997</v>
      </c>
      <c r="AJ4" s="100">
        <v>0.824715</v>
      </c>
      <c r="AK4" s="100">
        <v>0.811372</v>
      </c>
      <c r="AL4" s="100">
        <v>0.748977</v>
      </c>
      <c r="AM4" s="100">
        <v>0.63908</v>
      </c>
      <c r="AN4" s="100">
        <v>0.632805</v>
      </c>
      <c r="AO4" s="98">
        <v>3398.1912852836394</v>
      </c>
      <c r="AP4" s="157">
        <v>1.4098</v>
      </c>
      <c r="AQ4" s="100">
        <v>0.125</v>
      </c>
      <c r="AR4" s="100">
        <v>0.45255474452554745</v>
      </c>
      <c r="AS4" s="98">
        <v>383.66675801589474</v>
      </c>
      <c r="AT4" s="98">
        <v>746.7799397095094</v>
      </c>
      <c r="AU4" s="98">
        <v>54.80953685941354</v>
      </c>
      <c r="AV4" s="98">
        <v>863.2502055357633</v>
      </c>
      <c r="AW4" s="98">
        <v>924.9109345026035</v>
      </c>
      <c r="AX4" s="98">
        <v>102.76788161140038</v>
      </c>
      <c r="AY4" s="98">
        <v>726.2263633872294</v>
      </c>
      <c r="AZ4" s="98">
        <v>650.8632502055358</v>
      </c>
      <c r="BA4" s="100">
        <v>0.15476190476190477</v>
      </c>
      <c r="BB4" s="100">
        <v>0.5833333333333334</v>
      </c>
      <c r="BC4" s="100">
        <v>0.2619047619047619</v>
      </c>
      <c r="BD4" s="157">
        <v>1.2884</v>
      </c>
      <c r="BE4" s="157">
        <v>1.5394999999999999</v>
      </c>
      <c r="BF4" s="161">
        <v>2282</v>
      </c>
      <c r="BG4" s="161">
        <v>2216</v>
      </c>
      <c r="BH4" s="161">
        <v>3422</v>
      </c>
      <c r="BI4" s="161">
        <v>2175</v>
      </c>
      <c r="BJ4" s="161">
        <v>1073</v>
      </c>
      <c r="BK4" s="97"/>
      <c r="BL4" s="97"/>
      <c r="BM4" s="97"/>
      <c r="BN4" s="97"/>
    </row>
    <row r="5" spans="1:66" ht="12.75">
      <c r="A5" s="79" t="s">
        <v>370</v>
      </c>
      <c r="B5" s="79" t="s">
        <v>172</v>
      </c>
      <c r="C5" s="79" t="s">
        <v>392</v>
      </c>
      <c r="D5" s="99">
        <v>2758</v>
      </c>
      <c r="E5" s="99">
        <v>381</v>
      </c>
      <c r="F5" s="99" t="s">
        <v>200</v>
      </c>
      <c r="G5" s="99">
        <v>15</v>
      </c>
      <c r="H5" s="99">
        <v>6</v>
      </c>
      <c r="I5" s="99">
        <v>35</v>
      </c>
      <c r="J5" s="99">
        <v>169</v>
      </c>
      <c r="K5" s="99">
        <v>155</v>
      </c>
      <c r="L5" s="99">
        <v>434</v>
      </c>
      <c r="M5" s="99">
        <v>101</v>
      </c>
      <c r="N5" s="99">
        <v>55</v>
      </c>
      <c r="O5" s="99">
        <v>35</v>
      </c>
      <c r="P5" s="158">
        <v>35</v>
      </c>
      <c r="Q5" s="99" t="s">
        <v>972</v>
      </c>
      <c r="R5" s="99">
        <v>16</v>
      </c>
      <c r="S5" s="99" t="s">
        <v>972</v>
      </c>
      <c r="T5" s="99" t="s">
        <v>972</v>
      </c>
      <c r="U5" s="99" t="s">
        <v>972</v>
      </c>
      <c r="V5" s="99" t="s">
        <v>972</v>
      </c>
      <c r="W5" s="99">
        <v>12</v>
      </c>
      <c r="X5" s="99" t="s">
        <v>972</v>
      </c>
      <c r="Y5" s="99">
        <v>12</v>
      </c>
      <c r="Z5" s="99">
        <v>14</v>
      </c>
      <c r="AA5" s="99" t="s">
        <v>972</v>
      </c>
      <c r="AB5" s="99">
        <v>10</v>
      </c>
      <c r="AC5" s="99" t="s">
        <v>972</v>
      </c>
      <c r="AD5" s="98" t="s">
        <v>181</v>
      </c>
      <c r="AE5" s="100">
        <v>0.13814358230601886</v>
      </c>
      <c r="AF5" s="100">
        <v>0.34</v>
      </c>
      <c r="AG5" s="98">
        <v>543.8723712835388</v>
      </c>
      <c r="AH5" s="98">
        <v>217.54894851341552</v>
      </c>
      <c r="AI5" s="100">
        <v>0.0127</v>
      </c>
      <c r="AJ5" s="100">
        <v>0.616788</v>
      </c>
      <c r="AK5" s="100">
        <v>0.610236</v>
      </c>
      <c r="AL5" s="100">
        <v>0.701131</v>
      </c>
      <c r="AM5" s="100">
        <v>0.422594</v>
      </c>
      <c r="AN5" s="100">
        <v>0.44</v>
      </c>
      <c r="AO5" s="98">
        <v>1269.0355329949239</v>
      </c>
      <c r="AP5" s="157">
        <v>0.7106999999999999</v>
      </c>
      <c r="AQ5" s="100" t="s">
        <v>972</v>
      </c>
      <c r="AR5" s="100" t="s">
        <v>972</v>
      </c>
      <c r="AS5" s="98" t="s">
        <v>972</v>
      </c>
      <c r="AT5" s="98" t="s">
        <v>972</v>
      </c>
      <c r="AU5" s="98" t="s">
        <v>972</v>
      </c>
      <c r="AV5" s="98" t="s">
        <v>972</v>
      </c>
      <c r="AW5" s="98">
        <v>435.09789702683105</v>
      </c>
      <c r="AX5" s="98" t="s">
        <v>972</v>
      </c>
      <c r="AY5" s="98">
        <v>435.09789702683105</v>
      </c>
      <c r="AZ5" s="98">
        <v>507.61421319796955</v>
      </c>
      <c r="BA5" s="101" t="s">
        <v>972</v>
      </c>
      <c r="BB5" s="101">
        <v>0.7142857142857143</v>
      </c>
      <c r="BC5" s="101" t="s">
        <v>972</v>
      </c>
      <c r="BD5" s="157">
        <v>0.4951</v>
      </c>
      <c r="BE5" s="157">
        <v>0.9884999999999999</v>
      </c>
      <c r="BF5" s="161">
        <v>274</v>
      </c>
      <c r="BG5" s="161">
        <v>254</v>
      </c>
      <c r="BH5" s="161">
        <v>619</v>
      </c>
      <c r="BI5" s="161">
        <v>239</v>
      </c>
      <c r="BJ5" s="161">
        <v>125</v>
      </c>
      <c r="BK5" s="97"/>
      <c r="BL5" s="97"/>
      <c r="BM5" s="97"/>
      <c r="BN5" s="97"/>
    </row>
    <row r="6" spans="1:66" ht="12.75">
      <c r="A6" s="79" t="s">
        <v>320</v>
      </c>
      <c r="B6" s="79" t="s">
        <v>113</v>
      </c>
      <c r="C6" s="79" t="s">
        <v>392</v>
      </c>
      <c r="D6" s="99">
        <v>2636</v>
      </c>
      <c r="E6" s="99">
        <v>399</v>
      </c>
      <c r="F6" s="99" t="s">
        <v>200</v>
      </c>
      <c r="G6" s="99">
        <v>19</v>
      </c>
      <c r="H6" s="99" t="s">
        <v>972</v>
      </c>
      <c r="I6" s="99">
        <v>17</v>
      </c>
      <c r="J6" s="99">
        <v>170</v>
      </c>
      <c r="K6" s="99" t="s">
        <v>972</v>
      </c>
      <c r="L6" s="99">
        <v>378</v>
      </c>
      <c r="M6" s="99">
        <v>107</v>
      </c>
      <c r="N6" s="99">
        <v>53</v>
      </c>
      <c r="O6" s="99">
        <v>86</v>
      </c>
      <c r="P6" s="158">
        <v>86</v>
      </c>
      <c r="Q6" s="99">
        <v>7</v>
      </c>
      <c r="R6" s="99">
        <v>15</v>
      </c>
      <c r="S6" s="99">
        <v>14</v>
      </c>
      <c r="T6" s="99">
        <v>14</v>
      </c>
      <c r="U6" s="99" t="s">
        <v>972</v>
      </c>
      <c r="V6" s="99">
        <v>11</v>
      </c>
      <c r="W6" s="99">
        <v>22</v>
      </c>
      <c r="X6" s="99" t="s">
        <v>972</v>
      </c>
      <c r="Y6" s="99">
        <v>27</v>
      </c>
      <c r="Z6" s="99">
        <v>13</v>
      </c>
      <c r="AA6" s="99" t="s">
        <v>972</v>
      </c>
      <c r="AB6" s="99" t="s">
        <v>972</v>
      </c>
      <c r="AC6" s="99" t="s">
        <v>972</v>
      </c>
      <c r="AD6" s="98" t="s">
        <v>181</v>
      </c>
      <c r="AE6" s="100">
        <v>0.15136570561456753</v>
      </c>
      <c r="AF6" s="100">
        <v>0.24</v>
      </c>
      <c r="AG6" s="98">
        <v>720.7890743550835</v>
      </c>
      <c r="AH6" s="98" t="s">
        <v>972</v>
      </c>
      <c r="AI6" s="100">
        <v>0.0064</v>
      </c>
      <c r="AJ6" s="100">
        <v>0.674603</v>
      </c>
      <c r="AK6" s="100" t="s">
        <v>972</v>
      </c>
      <c r="AL6" s="100">
        <v>0.694853</v>
      </c>
      <c r="AM6" s="100">
        <v>0.390511</v>
      </c>
      <c r="AN6" s="100">
        <v>0.355705</v>
      </c>
      <c r="AO6" s="98">
        <v>3262.5189681335355</v>
      </c>
      <c r="AP6" s="157">
        <v>1.7385</v>
      </c>
      <c r="AQ6" s="100">
        <v>0.08139534883720931</v>
      </c>
      <c r="AR6" s="100">
        <v>0.4666666666666667</v>
      </c>
      <c r="AS6" s="98">
        <v>531.1077389984825</v>
      </c>
      <c r="AT6" s="98">
        <v>531.1077389984825</v>
      </c>
      <c r="AU6" s="98" t="s">
        <v>972</v>
      </c>
      <c r="AV6" s="98">
        <v>417.298937784522</v>
      </c>
      <c r="AW6" s="98">
        <v>834.597875569044</v>
      </c>
      <c r="AX6" s="98" t="s">
        <v>972</v>
      </c>
      <c r="AY6" s="98">
        <v>1024.279210925645</v>
      </c>
      <c r="AZ6" s="98">
        <v>493.1714719271624</v>
      </c>
      <c r="BA6" s="100" t="s">
        <v>972</v>
      </c>
      <c r="BB6" s="100" t="s">
        <v>972</v>
      </c>
      <c r="BC6" s="100" t="s">
        <v>972</v>
      </c>
      <c r="BD6" s="157">
        <v>1.3906</v>
      </c>
      <c r="BE6" s="157">
        <v>2.147</v>
      </c>
      <c r="BF6" s="161">
        <v>252</v>
      </c>
      <c r="BG6" s="161" t="s">
        <v>972</v>
      </c>
      <c r="BH6" s="161">
        <v>544</v>
      </c>
      <c r="BI6" s="161">
        <v>274</v>
      </c>
      <c r="BJ6" s="161">
        <v>149</v>
      </c>
      <c r="BK6" s="97"/>
      <c r="BL6" s="97"/>
      <c r="BM6" s="97"/>
      <c r="BN6" s="97"/>
    </row>
    <row r="7" spans="1:66" ht="12.75">
      <c r="A7" s="79" t="s">
        <v>285</v>
      </c>
      <c r="B7" s="79" t="s">
        <v>70</v>
      </c>
      <c r="C7" s="79" t="s">
        <v>392</v>
      </c>
      <c r="D7" s="99">
        <v>11098</v>
      </c>
      <c r="E7" s="99">
        <v>3298</v>
      </c>
      <c r="F7" s="99" t="s">
        <v>201</v>
      </c>
      <c r="G7" s="99">
        <v>86</v>
      </c>
      <c r="H7" s="99">
        <v>38</v>
      </c>
      <c r="I7" s="99">
        <v>287</v>
      </c>
      <c r="J7" s="99">
        <v>1397</v>
      </c>
      <c r="K7" s="99">
        <v>1365</v>
      </c>
      <c r="L7" s="99">
        <v>1881</v>
      </c>
      <c r="M7" s="99">
        <v>1142</v>
      </c>
      <c r="N7" s="99">
        <v>564</v>
      </c>
      <c r="O7" s="99">
        <v>292</v>
      </c>
      <c r="P7" s="158">
        <v>292</v>
      </c>
      <c r="Q7" s="99">
        <v>38</v>
      </c>
      <c r="R7" s="99">
        <v>73</v>
      </c>
      <c r="S7" s="99">
        <v>70</v>
      </c>
      <c r="T7" s="99">
        <v>50</v>
      </c>
      <c r="U7" s="99" t="s">
        <v>972</v>
      </c>
      <c r="V7" s="99">
        <v>65</v>
      </c>
      <c r="W7" s="99">
        <v>123</v>
      </c>
      <c r="X7" s="99">
        <v>51</v>
      </c>
      <c r="Y7" s="99">
        <v>151</v>
      </c>
      <c r="Z7" s="99">
        <v>86</v>
      </c>
      <c r="AA7" s="99">
        <v>19</v>
      </c>
      <c r="AB7" s="99">
        <v>43</v>
      </c>
      <c r="AC7" s="99">
        <v>20</v>
      </c>
      <c r="AD7" s="98" t="s">
        <v>181</v>
      </c>
      <c r="AE7" s="100">
        <v>0.2971706613804289</v>
      </c>
      <c r="AF7" s="100">
        <v>0.1</v>
      </c>
      <c r="AG7" s="98">
        <v>774.9143989908091</v>
      </c>
      <c r="AH7" s="98">
        <v>342.4040367633808</v>
      </c>
      <c r="AI7" s="100">
        <v>0.0259</v>
      </c>
      <c r="AJ7" s="100">
        <v>0.787042</v>
      </c>
      <c r="AK7" s="100">
        <v>0.794991</v>
      </c>
      <c r="AL7" s="100">
        <v>0.788679</v>
      </c>
      <c r="AM7" s="100">
        <v>0.622683</v>
      </c>
      <c r="AN7" s="100">
        <v>0.609071</v>
      </c>
      <c r="AO7" s="98">
        <v>2631.1047035501892</v>
      </c>
      <c r="AP7" s="157">
        <v>0.9821</v>
      </c>
      <c r="AQ7" s="100">
        <v>0.13013698630136986</v>
      </c>
      <c r="AR7" s="100">
        <v>0.5205479452054794</v>
      </c>
      <c r="AS7" s="98">
        <v>630.744278248333</v>
      </c>
      <c r="AT7" s="98">
        <v>450.5316273202379</v>
      </c>
      <c r="AU7" s="98" t="s">
        <v>972</v>
      </c>
      <c r="AV7" s="98">
        <v>585.6911155163092</v>
      </c>
      <c r="AW7" s="98">
        <v>1108.3078032077851</v>
      </c>
      <c r="AX7" s="98">
        <v>459.54225986664267</v>
      </c>
      <c r="AY7" s="98">
        <v>1360.6055145071184</v>
      </c>
      <c r="AZ7" s="98">
        <v>774.9143989908091</v>
      </c>
      <c r="BA7" s="100">
        <v>0.23170731707317074</v>
      </c>
      <c r="BB7" s="100">
        <v>0.524390243902439</v>
      </c>
      <c r="BC7" s="100">
        <v>0.24390243902439024</v>
      </c>
      <c r="BD7" s="157">
        <v>0.8726999999999999</v>
      </c>
      <c r="BE7" s="157">
        <v>1.1015000000000001</v>
      </c>
      <c r="BF7" s="161">
        <v>1775</v>
      </c>
      <c r="BG7" s="161">
        <v>1717</v>
      </c>
      <c r="BH7" s="161">
        <v>2385</v>
      </c>
      <c r="BI7" s="161">
        <v>1834</v>
      </c>
      <c r="BJ7" s="161">
        <v>926</v>
      </c>
      <c r="BK7" s="97"/>
      <c r="BL7" s="97"/>
      <c r="BM7" s="97"/>
      <c r="BN7" s="97"/>
    </row>
    <row r="8" spans="1:66" ht="12.75">
      <c r="A8" s="79" t="s">
        <v>278</v>
      </c>
      <c r="B8" s="79" t="s">
        <v>62</v>
      </c>
      <c r="C8" s="79" t="s">
        <v>392</v>
      </c>
      <c r="D8" s="99">
        <v>3948</v>
      </c>
      <c r="E8" s="99">
        <v>1102</v>
      </c>
      <c r="F8" s="99" t="s">
        <v>201</v>
      </c>
      <c r="G8" s="99">
        <v>32</v>
      </c>
      <c r="H8" s="99">
        <v>16</v>
      </c>
      <c r="I8" s="99">
        <v>164</v>
      </c>
      <c r="J8" s="99">
        <v>555</v>
      </c>
      <c r="K8" s="99">
        <v>8</v>
      </c>
      <c r="L8" s="99">
        <v>778</v>
      </c>
      <c r="M8" s="99">
        <v>446</v>
      </c>
      <c r="N8" s="99">
        <v>231</v>
      </c>
      <c r="O8" s="99">
        <v>90</v>
      </c>
      <c r="P8" s="158">
        <v>90</v>
      </c>
      <c r="Q8" s="99">
        <v>12</v>
      </c>
      <c r="R8" s="99">
        <v>23</v>
      </c>
      <c r="S8" s="99">
        <v>20</v>
      </c>
      <c r="T8" s="99">
        <v>7</v>
      </c>
      <c r="U8" s="99">
        <v>6</v>
      </c>
      <c r="V8" s="99">
        <v>23</v>
      </c>
      <c r="W8" s="99">
        <v>33</v>
      </c>
      <c r="X8" s="99">
        <v>17</v>
      </c>
      <c r="Y8" s="99">
        <v>52</v>
      </c>
      <c r="Z8" s="99">
        <v>26</v>
      </c>
      <c r="AA8" s="99">
        <v>6</v>
      </c>
      <c r="AB8" s="99">
        <v>15</v>
      </c>
      <c r="AC8" s="99">
        <v>16</v>
      </c>
      <c r="AD8" s="98" t="s">
        <v>181</v>
      </c>
      <c r="AE8" s="100">
        <v>0.27912867274569403</v>
      </c>
      <c r="AF8" s="100">
        <v>0.1</v>
      </c>
      <c r="AG8" s="98">
        <v>810.5369807497467</v>
      </c>
      <c r="AH8" s="98">
        <v>405.26849037487335</v>
      </c>
      <c r="AI8" s="100">
        <v>0.0415</v>
      </c>
      <c r="AJ8" s="100">
        <v>0.782793</v>
      </c>
      <c r="AK8" s="100">
        <v>0.727273</v>
      </c>
      <c r="AL8" s="100">
        <v>0.832086</v>
      </c>
      <c r="AM8" s="100">
        <v>0.610959</v>
      </c>
      <c r="AN8" s="100">
        <v>0.595361</v>
      </c>
      <c r="AO8" s="98">
        <v>2279.6352583586627</v>
      </c>
      <c r="AP8" s="157">
        <v>0.8563</v>
      </c>
      <c r="AQ8" s="100">
        <v>0.13333333333333333</v>
      </c>
      <c r="AR8" s="100">
        <v>0.5217391304347826</v>
      </c>
      <c r="AS8" s="98">
        <v>506.5856129685917</v>
      </c>
      <c r="AT8" s="98">
        <v>177.3049645390071</v>
      </c>
      <c r="AU8" s="98">
        <v>151.9756838905775</v>
      </c>
      <c r="AV8" s="98">
        <v>582.5734549138805</v>
      </c>
      <c r="AW8" s="98">
        <v>835.8662613981763</v>
      </c>
      <c r="AX8" s="98">
        <v>430.5977710233029</v>
      </c>
      <c r="AY8" s="98">
        <v>1317.1225937183383</v>
      </c>
      <c r="AZ8" s="98">
        <v>658.5612968591691</v>
      </c>
      <c r="BA8" s="100">
        <v>0.16216216216216217</v>
      </c>
      <c r="BB8" s="100">
        <v>0.40540540540540543</v>
      </c>
      <c r="BC8" s="100">
        <v>0.43243243243243246</v>
      </c>
      <c r="BD8" s="157">
        <v>0.6884999999999999</v>
      </c>
      <c r="BE8" s="157">
        <v>1.0525</v>
      </c>
      <c r="BF8" s="161">
        <v>709</v>
      </c>
      <c r="BG8" s="161">
        <v>11</v>
      </c>
      <c r="BH8" s="161">
        <v>935</v>
      </c>
      <c r="BI8" s="161">
        <v>730</v>
      </c>
      <c r="BJ8" s="161">
        <v>388</v>
      </c>
      <c r="BK8" s="97"/>
      <c r="BL8" s="97"/>
      <c r="BM8" s="97"/>
      <c r="BN8" s="97"/>
    </row>
    <row r="9" spans="1:66" ht="12.75">
      <c r="A9" s="79" t="s">
        <v>287</v>
      </c>
      <c r="B9" s="79" t="s">
        <v>73</v>
      </c>
      <c r="C9" s="79" t="s">
        <v>392</v>
      </c>
      <c r="D9" s="99">
        <v>7129</v>
      </c>
      <c r="E9" s="99">
        <v>1184</v>
      </c>
      <c r="F9" s="99" t="s">
        <v>202</v>
      </c>
      <c r="G9" s="99">
        <v>38</v>
      </c>
      <c r="H9" s="99">
        <v>25</v>
      </c>
      <c r="I9" s="99">
        <v>148</v>
      </c>
      <c r="J9" s="99">
        <v>717</v>
      </c>
      <c r="K9" s="99">
        <v>575</v>
      </c>
      <c r="L9" s="99">
        <v>1416</v>
      </c>
      <c r="M9" s="99">
        <v>480</v>
      </c>
      <c r="N9" s="99">
        <v>230</v>
      </c>
      <c r="O9" s="99">
        <v>170</v>
      </c>
      <c r="P9" s="158">
        <v>170</v>
      </c>
      <c r="Q9" s="99">
        <v>21</v>
      </c>
      <c r="R9" s="99">
        <v>32</v>
      </c>
      <c r="S9" s="99">
        <v>32</v>
      </c>
      <c r="T9" s="99">
        <v>24</v>
      </c>
      <c r="U9" s="99">
        <v>6</v>
      </c>
      <c r="V9" s="99">
        <v>54</v>
      </c>
      <c r="W9" s="99">
        <v>52</v>
      </c>
      <c r="X9" s="99">
        <v>22</v>
      </c>
      <c r="Y9" s="99">
        <v>71</v>
      </c>
      <c r="Z9" s="99">
        <v>42</v>
      </c>
      <c r="AA9" s="99">
        <v>12</v>
      </c>
      <c r="AB9" s="99">
        <v>17</v>
      </c>
      <c r="AC9" s="99">
        <v>14</v>
      </c>
      <c r="AD9" s="98" t="s">
        <v>181</v>
      </c>
      <c r="AE9" s="100">
        <v>0.16608219946696592</v>
      </c>
      <c r="AF9" s="100">
        <v>0.13</v>
      </c>
      <c r="AG9" s="98">
        <v>533.0340861270865</v>
      </c>
      <c r="AH9" s="98">
        <v>350.6803198204517</v>
      </c>
      <c r="AI9" s="100">
        <v>0.0208</v>
      </c>
      <c r="AJ9" s="100">
        <v>0.803812</v>
      </c>
      <c r="AK9" s="100">
        <v>0.753604</v>
      </c>
      <c r="AL9" s="100">
        <v>0.7552</v>
      </c>
      <c r="AM9" s="100">
        <v>0.599251</v>
      </c>
      <c r="AN9" s="100">
        <v>0.61008</v>
      </c>
      <c r="AO9" s="98">
        <v>2384.6261747790713</v>
      </c>
      <c r="AP9" s="157">
        <v>1.1623</v>
      </c>
      <c r="AQ9" s="100">
        <v>0.12352941176470589</v>
      </c>
      <c r="AR9" s="100">
        <v>0.65625</v>
      </c>
      <c r="AS9" s="98">
        <v>448.87080937017816</v>
      </c>
      <c r="AT9" s="98">
        <v>336.6531070276336</v>
      </c>
      <c r="AU9" s="98">
        <v>84.1632767569084</v>
      </c>
      <c r="AV9" s="98">
        <v>757.4694908121756</v>
      </c>
      <c r="AW9" s="98">
        <v>729.4150652265395</v>
      </c>
      <c r="AX9" s="98">
        <v>308.5986814419975</v>
      </c>
      <c r="AY9" s="98">
        <v>995.9321082900827</v>
      </c>
      <c r="AZ9" s="98">
        <v>589.1429372983588</v>
      </c>
      <c r="BA9" s="100">
        <v>0.27906976744186046</v>
      </c>
      <c r="BB9" s="100">
        <v>0.3953488372093023</v>
      </c>
      <c r="BC9" s="100">
        <v>0.32558139534883723</v>
      </c>
      <c r="BD9" s="157">
        <v>0.9942</v>
      </c>
      <c r="BE9" s="157">
        <v>1.3508000000000002</v>
      </c>
      <c r="BF9" s="161">
        <v>892</v>
      </c>
      <c r="BG9" s="161">
        <v>763</v>
      </c>
      <c r="BH9" s="161">
        <v>1875</v>
      </c>
      <c r="BI9" s="161">
        <v>801</v>
      </c>
      <c r="BJ9" s="161">
        <v>377</v>
      </c>
      <c r="BK9" s="97"/>
      <c r="BL9" s="97"/>
      <c r="BM9" s="97"/>
      <c r="BN9" s="97"/>
    </row>
    <row r="10" spans="1:66" ht="12.75">
      <c r="A10" s="79" t="s">
        <v>343</v>
      </c>
      <c r="B10" s="79" t="s">
        <v>142</v>
      </c>
      <c r="C10" s="79" t="s">
        <v>392</v>
      </c>
      <c r="D10" s="99">
        <v>3271</v>
      </c>
      <c r="E10" s="99">
        <v>736</v>
      </c>
      <c r="F10" s="99" t="s">
        <v>203</v>
      </c>
      <c r="G10" s="99">
        <v>13</v>
      </c>
      <c r="H10" s="99" t="s">
        <v>972</v>
      </c>
      <c r="I10" s="99">
        <v>70</v>
      </c>
      <c r="J10" s="99">
        <v>427</v>
      </c>
      <c r="K10" s="99">
        <v>6</v>
      </c>
      <c r="L10" s="99">
        <v>629</v>
      </c>
      <c r="M10" s="99">
        <v>336</v>
      </c>
      <c r="N10" s="99">
        <v>163</v>
      </c>
      <c r="O10" s="99">
        <v>107</v>
      </c>
      <c r="P10" s="158">
        <v>107</v>
      </c>
      <c r="Q10" s="99">
        <v>12</v>
      </c>
      <c r="R10" s="99">
        <v>28</v>
      </c>
      <c r="S10" s="99">
        <v>16</v>
      </c>
      <c r="T10" s="99">
        <v>19</v>
      </c>
      <c r="U10" s="99" t="s">
        <v>972</v>
      </c>
      <c r="V10" s="99">
        <v>19</v>
      </c>
      <c r="W10" s="99">
        <v>41</v>
      </c>
      <c r="X10" s="99">
        <v>11</v>
      </c>
      <c r="Y10" s="99">
        <v>32</v>
      </c>
      <c r="Z10" s="99">
        <v>22</v>
      </c>
      <c r="AA10" s="99">
        <v>6</v>
      </c>
      <c r="AB10" s="99">
        <v>17</v>
      </c>
      <c r="AC10" s="99">
        <v>6</v>
      </c>
      <c r="AD10" s="98" t="s">
        <v>181</v>
      </c>
      <c r="AE10" s="100">
        <v>0.22500764292265363</v>
      </c>
      <c r="AF10" s="100">
        <v>0.08</v>
      </c>
      <c r="AG10" s="98">
        <v>397.43197798838276</v>
      </c>
      <c r="AH10" s="98" t="s">
        <v>972</v>
      </c>
      <c r="AI10" s="100">
        <v>0.021400000000000002</v>
      </c>
      <c r="AJ10" s="100">
        <v>0.814885</v>
      </c>
      <c r="AK10" s="100">
        <v>0.857143</v>
      </c>
      <c r="AL10" s="100">
        <v>0.791195</v>
      </c>
      <c r="AM10" s="100">
        <v>0.685714</v>
      </c>
      <c r="AN10" s="100">
        <v>0.649402</v>
      </c>
      <c r="AO10" s="98">
        <v>3271.170895750535</v>
      </c>
      <c r="AP10" s="157">
        <v>1.3634</v>
      </c>
      <c r="AQ10" s="100">
        <v>0.11214953271028037</v>
      </c>
      <c r="AR10" s="100">
        <v>0.42857142857142855</v>
      </c>
      <c r="AS10" s="98">
        <v>489.1470498318557</v>
      </c>
      <c r="AT10" s="98">
        <v>580.8621216753287</v>
      </c>
      <c r="AU10" s="98" t="s">
        <v>972</v>
      </c>
      <c r="AV10" s="98">
        <v>580.8621216753287</v>
      </c>
      <c r="AW10" s="98">
        <v>1253.4393151941301</v>
      </c>
      <c r="AX10" s="98">
        <v>336.2885967594008</v>
      </c>
      <c r="AY10" s="98">
        <v>978.2940996637114</v>
      </c>
      <c r="AZ10" s="98">
        <v>672.5771935188016</v>
      </c>
      <c r="BA10" s="100">
        <v>0.20689655172413793</v>
      </c>
      <c r="BB10" s="100">
        <v>0.5862068965517241</v>
      </c>
      <c r="BC10" s="100">
        <v>0.20689655172413793</v>
      </c>
      <c r="BD10" s="157">
        <v>1.1174</v>
      </c>
      <c r="BE10" s="157">
        <v>1.6476</v>
      </c>
      <c r="BF10" s="161">
        <v>524</v>
      </c>
      <c r="BG10" s="161">
        <v>7</v>
      </c>
      <c r="BH10" s="161">
        <v>795</v>
      </c>
      <c r="BI10" s="161">
        <v>490</v>
      </c>
      <c r="BJ10" s="161">
        <v>251</v>
      </c>
      <c r="BK10" s="97"/>
      <c r="BL10" s="97"/>
      <c r="BM10" s="97"/>
      <c r="BN10" s="97"/>
    </row>
    <row r="11" spans="1:66" ht="12.75">
      <c r="A11" s="79" t="s">
        <v>283</v>
      </c>
      <c r="B11" s="79" t="s">
        <v>68</v>
      </c>
      <c r="C11" s="79" t="s">
        <v>392</v>
      </c>
      <c r="D11" s="99">
        <v>13290</v>
      </c>
      <c r="E11" s="99">
        <v>793</v>
      </c>
      <c r="F11" s="99" t="s">
        <v>202</v>
      </c>
      <c r="G11" s="99">
        <v>24</v>
      </c>
      <c r="H11" s="99">
        <v>14</v>
      </c>
      <c r="I11" s="99">
        <v>108</v>
      </c>
      <c r="J11" s="99">
        <v>362</v>
      </c>
      <c r="K11" s="99">
        <v>6</v>
      </c>
      <c r="L11" s="99">
        <v>1442</v>
      </c>
      <c r="M11" s="99">
        <v>269</v>
      </c>
      <c r="N11" s="99">
        <v>155</v>
      </c>
      <c r="O11" s="99">
        <v>242</v>
      </c>
      <c r="P11" s="158">
        <v>242</v>
      </c>
      <c r="Q11" s="99">
        <v>11</v>
      </c>
      <c r="R11" s="99">
        <v>27</v>
      </c>
      <c r="S11" s="99">
        <v>42</v>
      </c>
      <c r="T11" s="99">
        <v>20</v>
      </c>
      <c r="U11" s="99" t="s">
        <v>972</v>
      </c>
      <c r="V11" s="99">
        <v>72</v>
      </c>
      <c r="W11" s="99">
        <v>49</v>
      </c>
      <c r="X11" s="99">
        <v>17</v>
      </c>
      <c r="Y11" s="99">
        <v>39</v>
      </c>
      <c r="Z11" s="99">
        <v>29</v>
      </c>
      <c r="AA11" s="99" t="s">
        <v>972</v>
      </c>
      <c r="AB11" s="99">
        <v>11</v>
      </c>
      <c r="AC11" s="99" t="s">
        <v>972</v>
      </c>
      <c r="AD11" s="98" t="s">
        <v>181</v>
      </c>
      <c r="AE11" s="100">
        <v>0.059668924003009785</v>
      </c>
      <c r="AF11" s="100">
        <v>0.13</v>
      </c>
      <c r="AG11" s="98">
        <v>180.58690744920995</v>
      </c>
      <c r="AH11" s="98">
        <v>105.3423626787058</v>
      </c>
      <c r="AI11" s="100">
        <v>0.008100000000000001</v>
      </c>
      <c r="AJ11" s="100">
        <v>0.669131</v>
      </c>
      <c r="AK11" s="100">
        <v>0.666667</v>
      </c>
      <c r="AL11" s="100">
        <v>0.666975</v>
      </c>
      <c r="AM11" s="100">
        <v>0.554639</v>
      </c>
      <c r="AN11" s="100">
        <v>0.603113</v>
      </c>
      <c r="AO11" s="98">
        <v>1820.9179834462002</v>
      </c>
      <c r="AP11" s="157">
        <v>1.6405</v>
      </c>
      <c r="AQ11" s="100">
        <v>0.045454545454545456</v>
      </c>
      <c r="AR11" s="100">
        <v>0.4074074074074074</v>
      </c>
      <c r="AS11" s="98">
        <v>316.0270880361174</v>
      </c>
      <c r="AT11" s="98">
        <v>150.48908954100827</v>
      </c>
      <c r="AU11" s="98" t="s">
        <v>972</v>
      </c>
      <c r="AV11" s="98">
        <v>541.7607223476298</v>
      </c>
      <c r="AW11" s="98">
        <v>368.69826937547026</v>
      </c>
      <c r="AX11" s="98">
        <v>127.91572610985703</v>
      </c>
      <c r="AY11" s="98">
        <v>293.4537246049661</v>
      </c>
      <c r="AZ11" s="98">
        <v>218.209179834462</v>
      </c>
      <c r="BA11" s="100" t="s">
        <v>972</v>
      </c>
      <c r="BB11" s="100">
        <v>0.7333333333333333</v>
      </c>
      <c r="BC11" s="100" t="s">
        <v>972</v>
      </c>
      <c r="BD11" s="157">
        <v>1.4403</v>
      </c>
      <c r="BE11" s="157">
        <v>1.8607</v>
      </c>
      <c r="BF11" s="161">
        <v>541</v>
      </c>
      <c r="BG11" s="161">
        <v>9</v>
      </c>
      <c r="BH11" s="161">
        <v>2162</v>
      </c>
      <c r="BI11" s="161">
        <v>485</v>
      </c>
      <c r="BJ11" s="161">
        <v>257</v>
      </c>
      <c r="BK11" s="97"/>
      <c r="BL11" s="97"/>
      <c r="BM11" s="97"/>
      <c r="BN11" s="97"/>
    </row>
    <row r="12" spans="1:66" ht="12.75">
      <c r="A12" s="79" t="s">
        <v>323</v>
      </c>
      <c r="B12" s="79" t="s">
        <v>116</v>
      </c>
      <c r="C12" s="79" t="s">
        <v>392</v>
      </c>
      <c r="D12" s="99">
        <v>14890</v>
      </c>
      <c r="E12" s="99">
        <v>3255</v>
      </c>
      <c r="F12" s="99" t="s">
        <v>202</v>
      </c>
      <c r="G12" s="99">
        <v>79</v>
      </c>
      <c r="H12" s="99">
        <v>46</v>
      </c>
      <c r="I12" s="99">
        <v>283</v>
      </c>
      <c r="J12" s="99">
        <v>1756</v>
      </c>
      <c r="K12" s="99">
        <v>1695</v>
      </c>
      <c r="L12" s="99">
        <v>2596</v>
      </c>
      <c r="M12" s="99">
        <v>1321</v>
      </c>
      <c r="N12" s="99">
        <v>640</v>
      </c>
      <c r="O12" s="99">
        <v>351</v>
      </c>
      <c r="P12" s="158">
        <v>351</v>
      </c>
      <c r="Q12" s="99">
        <v>33</v>
      </c>
      <c r="R12" s="99">
        <v>70</v>
      </c>
      <c r="S12" s="99">
        <v>47</v>
      </c>
      <c r="T12" s="99">
        <v>70</v>
      </c>
      <c r="U12" s="99">
        <v>9</v>
      </c>
      <c r="V12" s="99">
        <v>28</v>
      </c>
      <c r="W12" s="99">
        <v>87</v>
      </c>
      <c r="X12" s="99">
        <v>90</v>
      </c>
      <c r="Y12" s="99">
        <v>145</v>
      </c>
      <c r="Z12" s="99">
        <v>129</v>
      </c>
      <c r="AA12" s="99">
        <v>19</v>
      </c>
      <c r="AB12" s="99">
        <v>56</v>
      </c>
      <c r="AC12" s="99">
        <v>27</v>
      </c>
      <c r="AD12" s="98" t="s">
        <v>181</v>
      </c>
      <c r="AE12" s="100">
        <v>0.21860308932169242</v>
      </c>
      <c r="AF12" s="100">
        <v>0.15</v>
      </c>
      <c r="AG12" s="98">
        <v>530.5574210879785</v>
      </c>
      <c r="AH12" s="98">
        <v>308.9321692411014</v>
      </c>
      <c r="AI12" s="100">
        <v>0.019</v>
      </c>
      <c r="AJ12" s="100">
        <v>0.801826</v>
      </c>
      <c r="AK12" s="100">
        <v>0.793911</v>
      </c>
      <c r="AL12" s="100">
        <v>0.757735</v>
      </c>
      <c r="AM12" s="100">
        <v>0.634181</v>
      </c>
      <c r="AN12" s="100">
        <v>0.614793</v>
      </c>
      <c r="AO12" s="98">
        <v>2357.286769644056</v>
      </c>
      <c r="AP12" s="157">
        <v>1.0246</v>
      </c>
      <c r="AQ12" s="100">
        <v>0.09401709401709402</v>
      </c>
      <c r="AR12" s="100">
        <v>0.4714285714285714</v>
      </c>
      <c r="AS12" s="98">
        <v>315.64808596373405</v>
      </c>
      <c r="AT12" s="98">
        <v>470.11417058428475</v>
      </c>
      <c r="AU12" s="98">
        <v>60.443250503693754</v>
      </c>
      <c r="AV12" s="98">
        <v>188.0456682337139</v>
      </c>
      <c r="AW12" s="98">
        <v>584.2847548690396</v>
      </c>
      <c r="AX12" s="98">
        <v>604.4325050369375</v>
      </c>
      <c r="AY12" s="98">
        <v>973.8079247817327</v>
      </c>
      <c r="AZ12" s="98">
        <v>866.3532572196104</v>
      </c>
      <c r="BA12" s="101">
        <v>0.18627450980392157</v>
      </c>
      <c r="BB12" s="101">
        <v>0.5490196078431373</v>
      </c>
      <c r="BC12" s="101">
        <v>0.2647058823529412</v>
      </c>
      <c r="BD12" s="157">
        <v>0.9201999999999999</v>
      </c>
      <c r="BE12" s="157">
        <v>1.1376</v>
      </c>
      <c r="BF12" s="161">
        <v>2190</v>
      </c>
      <c r="BG12" s="161">
        <v>2135</v>
      </c>
      <c r="BH12" s="161">
        <v>3426</v>
      </c>
      <c r="BI12" s="161">
        <v>2083</v>
      </c>
      <c r="BJ12" s="161">
        <v>1041</v>
      </c>
      <c r="BK12" s="97"/>
      <c r="BL12" s="97"/>
      <c r="BM12" s="97"/>
      <c r="BN12" s="97"/>
    </row>
    <row r="13" spans="1:66" ht="12.75">
      <c r="A13" s="79" t="s">
        <v>374</v>
      </c>
      <c r="B13" s="79" t="s">
        <v>176</v>
      </c>
      <c r="C13" s="79" t="s">
        <v>392</v>
      </c>
      <c r="D13" s="99">
        <v>2184</v>
      </c>
      <c r="E13" s="99">
        <v>658</v>
      </c>
      <c r="F13" s="99" t="s">
        <v>201</v>
      </c>
      <c r="G13" s="99">
        <v>20</v>
      </c>
      <c r="H13" s="99">
        <v>8</v>
      </c>
      <c r="I13" s="99">
        <v>61</v>
      </c>
      <c r="J13" s="99">
        <v>287</v>
      </c>
      <c r="K13" s="99">
        <v>7</v>
      </c>
      <c r="L13" s="99">
        <v>363</v>
      </c>
      <c r="M13" s="99">
        <v>246</v>
      </c>
      <c r="N13" s="99">
        <v>110</v>
      </c>
      <c r="O13" s="99">
        <v>38</v>
      </c>
      <c r="P13" s="158">
        <v>38</v>
      </c>
      <c r="Q13" s="99" t="s">
        <v>972</v>
      </c>
      <c r="R13" s="99" t="s">
        <v>972</v>
      </c>
      <c r="S13" s="99" t="s">
        <v>972</v>
      </c>
      <c r="T13" s="99">
        <v>8</v>
      </c>
      <c r="U13" s="99" t="s">
        <v>972</v>
      </c>
      <c r="V13" s="99" t="s">
        <v>972</v>
      </c>
      <c r="W13" s="99">
        <v>16</v>
      </c>
      <c r="X13" s="99">
        <v>17</v>
      </c>
      <c r="Y13" s="99">
        <v>30</v>
      </c>
      <c r="Z13" s="99">
        <v>12</v>
      </c>
      <c r="AA13" s="99" t="s">
        <v>972</v>
      </c>
      <c r="AB13" s="99" t="s">
        <v>972</v>
      </c>
      <c r="AC13" s="99" t="s">
        <v>972</v>
      </c>
      <c r="AD13" s="98" t="s">
        <v>181</v>
      </c>
      <c r="AE13" s="100">
        <v>0.30128205128205127</v>
      </c>
      <c r="AF13" s="100">
        <v>0.09</v>
      </c>
      <c r="AG13" s="98">
        <v>915.7509157509157</v>
      </c>
      <c r="AH13" s="98">
        <v>366.3003663003663</v>
      </c>
      <c r="AI13" s="100">
        <v>0.0279</v>
      </c>
      <c r="AJ13" s="100">
        <v>0.724747</v>
      </c>
      <c r="AK13" s="100">
        <v>0.538462</v>
      </c>
      <c r="AL13" s="100">
        <v>0.761006</v>
      </c>
      <c r="AM13" s="100">
        <v>0.6</v>
      </c>
      <c r="AN13" s="100">
        <v>0.588235</v>
      </c>
      <c r="AO13" s="98">
        <v>1739.9267399267399</v>
      </c>
      <c r="AP13" s="157">
        <v>0.6373</v>
      </c>
      <c r="AQ13" s="100" t="s">
        <v>972</v>
      </c>
      <c r="AR13" s="100" t="s">
        <v>972</v>
      </c>
      <c r="AS13" s="98" t="s">
        <v>972</v>
      </c>
      <c r="AT13" s="98">
        <v>366.3003663003663</v>
      </c>
      <c r="AU13" s="98" t="s">
        <v>972</v>
      </c>
      <c r="AV13" s="98" t="s">
        <v>972</v>
      </c>
      <c r="AW13" s="98">
        <v>732.6007326007326</v>
      </c>
      <c r="AX13" s="98">
        <v>778.3882783882784</v>
      </c>
      <c r="AY13" s="98">
        <v>1373.6263736263736</v>
      </c>
      <c r="AZ13" s="98">
        <v>549.4505494505495</v>
      </c>
      <c r="BA13" s="100" t="s">
        <v>972</v>
      </c>
      <c r="BB13" s="100" t="s">
        <v>972</v>
      </c>
      <c r="BC13" s="100" t="s">
        <v>972</v>
      </c>
      <c r="BD13" s="157">
        <v>0.451</v>
      </c>
      <c r="BE13" s="157">
        <v>0.8747</v>
      </c>
      <c r="BF13" s="161">
        <v>396</v>
      </c>
      <c r="BG13" s="161">
        <v>13</v>
      </c>
      <c r="BH13" s="161">
        <v>477</v>
      </c>
      <c r="BI13" s="161">
        <v>410</v>
      </c>
      <c r="BJ13" s="161">
        <v>187</v>
      </c>
      <c r="BK13" s="97"/>
      <c r="BL13" s="97"/>
      <c r="BM13" s="97"/>
      <c r="BN13" s="97"/>
    </row>
    <row r="14" spans="1:66" ht="12.75">
      <c r="A14" s="79" t="s">
        <v>353</v>
      </c>
      <c r="B14" s="79" t="s">
        <v>152</v>
      </c>
      <c r="C14" s="79" t="s">
        <v>392</v>
      </c>
      <c r="D14" s="99">
        <v>5388</v>
      </c>
      <c r="E14" s="99">
        <v>859</v>
      </c>
      <c r="F14" s="99" t="s">
        <v>202</v>
      </c>
      <c r="G14" s="99">
        <v>30</v>
      </c>
      <c r="H14" s="99">
        <v>18</v>
      </c>
      <c r="I14" s="99">
        <v>96</v>
      </c>
      <c r="J14" s="99">
        <v>474</v>
      </c>
      <c r="K14" s="99">
        <v>129</v>
      </c>
      <c r="L14" s="99">
        <v>1052</v>
      </c>
      <c r="M14" s="99">
        <v>348</v>
      </c>
      <c r="N14" s="99">
        <v>164</v>
      </c>
      <c r="O14" s="99">
        <v>103</v>
      </c>
      <c r="P14" s="158">
        <v>103</v>
      </c>
      <c r="Q14" s="99">
        <v>14</v>
      </c>
      <c r="R14" s="99">
        <v>23</v>
      </c>
      <c r="S14" s="99">
        <v>24</v>
      </c>
      <c r="T14" s="99">
        <v>20</v>
      </c>
      <c r="U14" s="99" t="s">
        <v>972</v>
      </c>
      <c r="V14" s="99">
        <v>8</v>
      </c>
      <c r="W14" s="99">
        <v>25</v>
      </c>
      <c r="X14" s="99">
        <v>27</v>
      </c>
      <c r="Y14" s="99">
        <v>33</v>
      </c>
      <c r="Z14" s="99">
        <v>28</v>
      </c>
      <c r="AA14" s="99" t="s">
        <v>972</v>
      </c>
      <c r="AB14" s="99">
        <v>14</v>
      </c>
      <c r="AC14" s="99" t="s">
        <v>972</v>
      </c>
      <c r="AD14" s="98" t="s">
        <v>181</v>
      </c>
      <c r="AE14" s="100">
        <v>0.15942835931700075</v>
      </c>
      <c r="AF14" s="100">
        <v>0.15</v>
      </c>
      <c r="AG14" s="98">
        <v>556.7928730512249</v>
      </c>
      <c r="AH14" s="98">
        <v>334.07572383073494</v>
      </c>
      <c r="AI14" s="100">
        <v>0.0178</v>
      </c>
      <c r="AJ14" s="100">
        <v>0.677143</v>
      </c>
      <c r="AK14" s="100">
        <v>0.763314</v>
      </c>
      <c r="AL14" s="100">
        <v>0.757379</v>
      </c>
      <c r="AM14" s="100">
        <v>0.564935</v>
      </c>
      <c r="AN14" s="100">
        <v>0.529032</v>
      </c>
      <c r="AO14" s="98">
        <v>1911.6555308092056</v>
      </c>
      <c r="AP14" s="157">
        <v>0.9662000000000001</v>
      </c>
      <c r="AQ14" s="100">
        <v>0.13592233009708737</v>
      </c>
      <c r="AR14" s="100">
        <v>0.6086956521739131</v>
      </c>
      <c r="AS14" s="98">
        <v>445.43429844097994</v>
      </c>
      <c r="AT14" s="98">
        <v>371.19524870081665</v>
      </c>
      <c r="AU14" s="98" t="s">
        <v>972</v>
      </c>
      <c r="AV14" s="98">
        <v>148.47809948032665</v>
      </c>
      <c r="AW14" s="98">
        <v>463.9940608760208</v>
      </c>
      <c r="AX14" s="98">
        <v>501.11358574610244</v>
      </c>
      <c r="AY14" s="98">
        <v>612.4721603563474</v>
      </c>
      <c r="AZ14" s="98">
        <v>519.6733481811433</v>
      </c>
      <c r="BA14" s="101" t="s">
        <v>972</v>
      </c>
      <c r="BB14" s="101">
        <v>0.6666666666666666</v>
      </c>
      <c r="BC14" s="101" t="s">
        <v>972</v>
      </c>
      <c r="BD14" s="157">
        <v>0.7887000000000001</v>
      </c>
      <c r="BE14" s="157">
        <v>1.1719</v>
      </c>
      <c r="BF14" s="161">
        <v>700</v>
      </c>
      <c r="BG14" s="161">
        <v>169</v>
      </c>
      <c r="BH14" s="161">
        <v>1389</v>
      </c>
      <c r="BI14" s="161">
        <v>616</v>
      </c>
      <c r="BJ14" s="161">
        <v>310</v>
      </c>
      <c r="BK14" s="97"/>
      <c r="BL14" s="97"/>
      <c r="BM14" s="97"/>
      <c r="BN14" s="97"/>
    </row>
    <row r="15" spans="1:66" ht="12.75">
      <c r="A15" s="79" t="s">
        <v>376</v>
      </c>
      <c r="B15" s="79" t="s">
        <v>275</v>
      </c>
      <c r="C15" s="79" t="s">
        <v>392</v>
      </c>
      <c r="D15" s="99">
        <v>2338</v>
      </c>
      <c r="E15" s="99">
        <v>511</v>
      </c>
      <c r="F15" s="99" t="s">
        <v>201</v>
      </c>
      <c r="G15" s="99">
        <v>14</v>
      </c>
      <c r="H15" s="99">
        <v>6</v>
      </c>
      <c r="I15" s="99">
        <v>58</v>
      </c>
      <c r="J15" s="99">
        <v>308</v>
      </c>
      <c r="K15" s="99">
        <v>7</v>
      </c>
      <c r="L15" s="99">
        <v>436</v>
      </c>
      <c r="M15" s="99">
        <v>223</v>
      </c>
      <c r="N15" s="99">
        <v>113</v>
      </c>
      <c r="O15" s="99">
        <v>38</v>
      </c>
      <c r="P15" s="158">
        <v>38</v>
      </c>
      <c r="Q15" s="99">
        <v>6</v>
      </c>
      <c r="R15" s="99">
        <v>9</v>
      </c>
      <c r="S15" s="99">
        <v>8</v>
      </c>
      <c r="T15" s="99">
        <v>10</v>
      </c>
      <c r="U15" s="99" t="s">
        <v>972</v>
      </c>
      <c r="V15" s="99" t="s">
        <v>972</v>
      </c>
      <c r="W15" s="99">
        <v>19</v>
      </c>
      <c r="X15" s="99">
        <v>10</v>
      </c>
      <c r="Y15" s="99">
        <v>21</v>
      </c>
      <c r="Z15" s="99">
        <v>11</v>
      </c>
      <c r="AA15" s="99" t="s">
        <v>972</v>
      </c>
      <c r="AB15" s="99" t="s">
        <v>972</v>
      </c>
      <c r="AC15" s="99" t="s">
        <v>972</v>
      </c>
      <c r="AD15" s="98" t="s">
        <v>181</v>
      </c>
      <c r="AE15" s="100">
        <v>0.218562874251497</v>
      </c>
      <c r="AF15" s="100">
        <v>0.1</v>
      </c>
      <c r="AG15" s="98">
        <v>598.8023952095808</v>
      </c>
      <c r="AH15" s="98">
        <v>256.6295979469632</v>
      </c>
      <c r="AI15" s="100">
        <v>0.0248</v>
      </c>
      <c r="AJ15" s="100">
        <v>0.843836</v>
      </c>
      <c r="AK15" s="100">
        <v>0.875</v>
      </c>
      <c r="AL15" s="100">
        <v>0.774423</v>
      </c>
      <c r="AM15" s="100">
        <v>0.646377</v>
      </c>
      <c r="AN15" s="100">
        <v>0.610811</v>
      </c>
      <c r="AO15" s="98">
        <v>1625.3207869974337</v>
      </c>
      <c r="AP15" s="157">
        <v>0.6926000000000001</v>
      </c>
      <c r="AQ15" s="100">
        <v>0.15789473684210525</v>
      </c>
      <c r="AR15" s="100">
        <v>0.6666666666666666</v>
      </c>
      <c r="AS15" s="98">
        <v>342.1727972626176</v>
      </c>
      <c r="AT15" s="98">
        <v>427.71599657827204</v>
      </c>
      <c r="AU15" s="98" t="s">
        <v>972</v>
      </c>
      <c r="AV15" s="98" t="s">
        <v>972</v>
      </c>
      <c r="AW15" s="98">
        <v>812.6603934987169</v>
      </c>
      <c r="AX15" s="98">
        <v>427.71599657827204</v>
      </c>
      <c r="AY15" s="98">
        <v>898.2035928143713</v>
      </c>
      <c r="AZ15" s="98">
        <v>470.48759623609925</v>
      </c>
      <c r="BA15" s="100" t="s">
        <v>972</v>
      </c>
      <c r="BB15" s="100" t="s">
        <v>972</v>
      </c>
      <c r="BC15" s="100" t="s">
        <v>972</v>
      </c>
      <c r="BD15" s="157">
        <v>0.4902</v>
      </c>
      <c r="BE15" s="157">
        <v>0.9506999999999999</v>
      </c>
      <c r="BF15" s="161">
        <v>365</v>
      </c>
      <c r="BG15" s="161">
        <v>8</v>
      </c>
      <c r="BH15" s="161">
        <v>563</v>
      </c>
      <c r="BI15" s="161">
        <v>345</v>
      </c>
      <c r="BJ15" s="161">
        <v>185</v>
      </c>
      <c r="BK15" s="97"/>
      <c r="BL15" s="97"/>
      <c r="BM15" s="97"/>
      <c r="BN15" s="97"/>
    </row>
    <row r="16" spans="1:66" ht="12.75">
      <c r="A16" s="79" t="s">
        <v>280</v>
      </c>
      <c r="B16" s="79" t="s">
        <v>64</v>
      </c>
      <c r="C16" s="79" t="s">
        <v>392</v>
      </c>
      <c r="D16" s="99">
        <v>2805</v>
      </c>
      <c r="E16" s="99">
        <v>666</v>
      </c>
      <c r="F16" s="99" t="s">
        <v>201</v>
      </c>
      <c r="G16" s="99">
        <v>19</v>
      </c>
      <c r="H16" s="99">
        <v>12</v>
      </c>
      <c r="I16" s="99">
        <v>73</v>
      </c>
      <c r="J16" s="99">
        <v>360</v>
      </c>
      <c r="K16" s="99">
        <v>9</v>
      </c>
      <c r="L16" s="99">
        <v>523</v>
      </c>
      <c r="M16" s="99">
        <v>320</v>
      </c>
      <c r="N16" s="99">
        <v>148</v>
      </c>
      <c r="O16" s="99">
        <v>43</v>
      </c>
      <c r="P16" s="158">
        <v>43</v>
      </c>
      <c r="Q16" s="99" t="s">
        <v>972</v>
      </c>
      <c r="R16" s="99">
        <v>20</v>
      </c>
      <c r="S16" s="99">
        <v>7</v>
      </c>
      <c r="T16" s="99">
        <v>7</v>
      </c>
      <c r="U16" s="99" t="s">
        <v>972</v>
      </c>
      <c r="V16" s="99" t="s">
        <v>972</v>
      </c>
      <c r="W16" s="99">
        <v>21</v>
      </c>
      <c r="X16" s="99">
        <v>19</v>
      </c>
      <c r="Y16" s="99">
        <v>17</v>
      </c>
      <c r="Z16" s="99">
        <v>21</v>
      </c>
      <c r="AA16" s="99" t="s">
        <v>972</v>
      </c>
      <c r="AB16" s="99" t="s">
        <v>972</v>
      </c>
      <c r="AC16" s="99" t="s">
        <v>972</v>
      </c>
      <c r="AD16" s="98" t="s">
        <v>181</v>
      </c>
      <c r="AE16" s="100">
        <v>0.2374331550802139</v>
      </c>
      <c r="AF16" s="100">
        <v>0.11</v>
      </c>
      <c r="AG16" s="98">
        <v>677.3618538324421</v>
      </c>
      <c r="AH16" s="98">
        <v>427.80748663101605</v>
      </c>
      <c r="AI16" s="100">
        <v>0.026000000000000002</v>
      </c>
      <c r="AJ16" s="100">
        <v>0.791209</v>
      </c>
      <c r="AK16" s="100">
        <v>0.692308</v>
      </c>
      <c r="AL16" s="100">
        <v>0.827532</v>
      </c>
      <c r="AM16" s="100">
        <v>0.686695</v>
      </c>
      <c r="AN16" s="100">
        <v>0.675799</v>
      </c>
      <c r="AO16" s="98">
        <v>1532.9768270944742</v>
      </c>
      <c r="AP16" s="157">
        <v>0.6257</v>
      </c>
      <c r="AQ16" s="100" t="s">
        <v>972</v>
      </c>
      <c r="AR16" s="100" t="s">
        <v>972</v>
      </c>
      <c r="AS16" s="98">
        <v>249.55436720142603</v>
      </c>
      <c r="AT16" s="98">
        <v>249.55436720142603</v>
      </c>
      <c r="AU16" s="98" t="s">
        <v>972</v>
      </c>
      <c r="AV16" s="98" t="s">
        <v>972</v>
      </c>
      <c r="AW16" s="98">
        <v>748.663101604278</v>
      </c>
      <c r="AX16" s="98">
        <v>677.3618538324421</v>
      </c>
      <c r="AY16" s="98">
        <v>606.060606060606</v>
      </c>
      <c r="AZ16" s="98">
        <v>748.663101604278</v>
      </c>
      <c r="BA16" s="100" t="s">
        <v>972</v>
      </c>
      <c r="BB16" s="100" t="s">
        <v>972</v>
      </c>
      <c r="BC16" s="100" t="s">
        <v>972</v>
      </c>
      <c r="BD16" s="157">
        <v>0.45280000000000004</v>
      </c>
      <c r="BE16" s="157">
        <v>0.8428</v>
      </c>
      <c r="BF16" s="161">
        <v>455</v>
      </c>
      <c r="BG16" s="161">
        <v>13</v>
      </c>
      <c r="BH16" s="161">
        <v>632</v>
      </c>
      <c r="BI16" s="161">
        <v>466</v>
      </c>
      <c r="BJ16" s="161">
        <v>219</v>
      </c>
      <c r="BK16" s="97"/>
      <c r="BL16" s="97"/>
      <c r="BM16" s="97"/>
      <c r="BN16" s="97"/>
    </row>
    <row r="17" spans="1:66" ht="12.75">
      <c r="A17" s="79" t="s">
        <v>345</v>
      </c>
      <c r="B17" s="79" t="s">
        <v>144</v>
      </c>
      <c r="C17" s="79" t="s">
        <v>392</v>
      </c>
      <c r="D17" s="99">
        <v>6352</v>
      </c>
      <c r="E17" s="99">
        <v>1191</v>
      </c>
      <c r="F17" s="99" t="s">
        <v>201</v>
      </c>
      <c r="G17" s="99">
        <v>27</v>
      </c>
      <c r="H17" s="99">
        <v>19</v>
      </c>
      <c r="I17" s="99">
        <v>126</v>
      </c>
      <c r="J17" s="99">
        <v>707</v>
      </c>
      <c r="K17" s="99">
        <v>664</v>
      </c>
      <c r="L17" s="99">
        <v>1229</v>
      </c>
      <c r="M17" s="99">
        <v>439</v>
      </c>
      <c r="N17" s="99">
        <v>209</v>
      </c>
      <c r="O17" s="99">
        <v>127</v>
      </c>
      <c r="P17" s="158">
        <v>127</v>
      </c>
      <c r="Q17" s="99">
        <v>17</v>
      </c>
      <c r="R17" s="99">
        <v>34</v>
      </c>
      <c r="S17" s="99">
        <v>36</v>
      </c>
      <c r="T17" s="99">
        <v>10</v>
      </c>
      <c r="U17" s="99" t="s">
        <v>972</v>
      </c>
      <c r="V17" s="99">
        <v>18</v>
      </c>
      <c r="W17" s="99">
        <v>53</v>
      </c>
      <c r="X17" s="99">
        <v>22</v>
      </c>
      <c r="Y17" s="99">
        <v>67</v>
      </c>
      <c r="Z17" s="99">
        <v>35</v>
      </c>
      <c r="AA17" s="99">
        <v>10</v>
      </c>
      <c r="AB17" s="99">
        <v>9</v>
      </c>
      <c r="AC17" s="99">
        <v>17</v>
      </c>
      <c r="AD17" s="98" t="s">
        <v>181</v>
      </c>
      <c r="AE17" s="100">
        <v>0.1875</v>
      </c>
      <c r="AF17" s="100">
        <v>0.09</v>
      </c>
      <c r="AG17" s="98">
        <v>425.06297229219143</v>
      </c>
      <c r="AH17" s="98">
        <v>299.1183879093199</v>
      </c>
      <c r="AI17" s="100">
        <v>0.019799999999999998</v>
      </c>
      <c r="AJ17" s="100">
        <v>0.815456</v>
      </c>
      <c r="AK17" s="100">
        <v>0.788599</v>
      </c>
      <c r="AL17" s="100">
        <v>0.809085</v>
      </c>
      <c r="AM17" s="100">
        <v>0.566452</v>
      </c>
      <c r="AN17" s="100">
        <v>0.542857</v>
      </c>
      <c r="AO17" s="98">
        <v>1999.3702770780856</v>
      </c>
      <c r="AP17" s="157">
        <v>0.9248000000000001</v>
      </c>
      <c r="AQ17" s="100">
        <v>0.13385826771653545</v>
      </c>
      <c r="AR17" s="100">
        <v>0.5</v>
      </c>
      <c r="AS17" s="98">
        <v>566.7506297229219</v>
      </c>
      <c r="AT17" s="98">
        <v>157.43073047858942</v>
      </c>
      <c r="AU17" s="98" t="s">
        <v>972</v>
      </c>
      <c r="AV17" s="98">
        <v>283.37531486146094</v>
      </c>
      <c r="AW17" s="98">
        <v>834.3828715365239</v>
      </c>
      <c r="AX17" s="98">
        <v>346.3476070528967</v>
      </c>
      <c r="AY17" s="98">
        <v>1054.785894206549</v>
      </c>
      <c r="AZ17" s="98">
        <v>551.007556675063</v>
      </c>
      <c r="BA17" s="100">
        <v>0.2777777777777778</v>
      </c>
      <c r="BB17" s="100">
        <v>0.25</v>
      </c>
      <c r="BC17" s="100">
        <v>0.4722222222222222</v>
      </c>
      <c r="BD17" s="157">
        <v>0.7709</v>
      </c>
      <c r="BE17" s="157">
        <v>1.1003</v>
      </c>
      <c r="BF17" s="161">
        <v>867</v>
      </c>
      <c r="BG17" s="161">
        <v>842</v>
      </c>
      <c r="BH17" s="161">
        <v>1519</v>
      </c>
      <c r="BI17" s="161">
        <v>775</v>
      </c>
      <c r="BJ17" s="161">
        <v>385</v>
      </c>
      <c r="BK17" s="97"/>
      <c r="BL17" s="97"/>
      <c r="BM17" s="97"/>
      <c r="BN17" s="97"/>
    </row>
    <row r="18" spans="1:66" ht="12.75">
      <c r="A18" s="79" t="s">
        <v>316</v>
      </c>
      <c r="B18" s="79" t="s">
        <v>107</v>
      </c>
      <c r="C18" s="79" t="s">
        <v>392</v>
      </c>
      <c r="D18" s="99">
        <v>13161</v>
      </c>
      <c r="E18" s="99">
        <v>2892</v>
      </c>
      <c r="F18" s="99" t="s">
        <v>202</v>
      </c>
      <c r="G18" s="99">
        <v>86</v>
      </c>
      <c r="H18" s="99">
        <v>39</v>
      </c>
      <c r="I18" s="99">
        <v>310</v>
      </c>
      <c r="J18" s="99">
        <v>1535</v>
      </c>
      <c r="K18" s="99">
        <v>1388</v>
      </c>
      <c r="L18" s="99">
        <v>2423</v>
      </c>
      <c r="M18" s="99">
        <v>1086</v>
      </c>
      <c r="N18" s="99">
        <v>520</v>
      </c>
      <c r="O18" s="99">
        <v>340</v>
      </c>
      <c r="P18" s="158">
        <v>340</v>
      </c>
      <c r="Q18" s="99">
        <v>31</v>
      </c>
      <c r="R18" s="99">
        <v>66</v>
      </c>
      <c r="S18" s="99">
        <v>51</v>
      </c>
      <c r="T18" s="99">
        <v>98</v>
      </c>
      <c r="U18" s="99">
        <v>14</v>
      </c>
      <c r="V18" s="99">
        <v>37</v>
      </c>
      <c r="W18" s="99">
        <v>83</v>
      </c>
      <c r="X18" s="99">
        <v>102</v>
      </c>
      <c r="Y18" s="99">
        <v>129</v>
      </c>
      <c r="Z18" s="99">
        <v>102</v>
      </c>
      <c r="AA18" s="99">
        <v>25</v>
      </c>
      <c r="AB18" s="99">
        <v>40</v>
      </c>
      <c r="AC18" s="99">
        <v>15</v>
      </c>
      <c r="AD18" s="98" t="s">
        <v>181</v>
      </c>
      <c r="AE18" s="100">
        <v>0.2197401413266469</v>
      </c>
      <c r="AF18" s="100">
        <v>0.14</v>
      </c>
      <c r="AG18" s="98">
        <v>653.4457867943165</v>
      </c>
      <c r="AH18" s="98">
        <v>296.33006610439935</v>
      </c>
      <c r="AI18" s="100">
        <v>0.0236</v>
      </c>
      <c r="AJ18" s="100">
        <v>0.848066</v>
      </c>
      <c r="AK18" s="100">
        <v>0.794505</v>
      </c>
      <c r="AL18" s="100">
        <v>0.791055</v>
      </c>
      <c r="AM18" s="100">
        <v>0.608403</v>
      </c>
      <c r="AN18" s="100">
        <v>0.575858</v>
      </c>
      <c r="AO18" s="98">
        <v>2583.3903198845073</v>
      </c>
      <c r="AP18" s="157">
        <v>1.1383</v>
      </c>
      <c r="AQ18" s="100">
        <v>0.09117647058823529</v>
      </c>
      <c r="AR18" s="100">
        <v>0.4696969696969697</v>
      </c>
      <c r="AS18" s="98">
        <v>387.5085479826761</v>
      </c>
      <c r="AT18" s="98">
        <v>744.6242686725933</v>
      </c>
      <c r="AU18" s="98">
        <v>106.37489552465618</v>
      </c>
      <c r="AV18" s="98">
        <v>281.1336524580199</v>
      </c>
      <c r="AW18" s="98">
        <v>630.6511663247474</v>
      </c>
      <c r="AX18" s="98">
        <v>775.0170959653522</v>
      </c>
      <c r="AY18" s="98">
        <v>980.1686801914748</v>
      </c>
      <c r="AZ18" s="98">
        <v>775.0170959653522</v>
      </c>
      <c r="BA18" s="100">
        <v>0.3125</v>
      </c>
      <c r="BB18" s="100">
        <v>0.5</v>
      </c>
      <c r="BC18" s="100">
        <v>0.1875</v>
      </c>
      <c r="BD18" s="157">
        <v>1.0205</v>
      </c>
      <c r="BE18" s="157">
        <v>1.266</v>
      </c>
      <c r="BF18" s="161">
        <v>1810</v>
      </c>
      <c r="BG18" s="161">
        <v>1747</v>
      </c>
      <c r="BH18" s="161">
        <v>3063</v>
      </c>
      <c r="BI18" s="161">
        <v>1785</v>
      </c>
      <c r="BJ18" s="161">
        <v>903</v>
      </c>
      <c r="BK18" s="97"/>
      <c r="BL18" s="97"/>
      <c r="BM18" s="97"/>
      <c r="BN18" s="97"/>
    </row>
    <row r="19" spans="1:66" ht="12.75">
      <c r="A19" s="79" t="s">
        <v>279</v>
      </c>
      <c r="B19" s="79" t="s">
        <v>63</v>
      </c>
      <c r="C19" s="79" t="s">
        <v>392</v>
      </c>
      <c r="D19" s="99">
        <v>7965</v>
      </c>
      <c r="E19" s="99">
        <v>2920</v>
      </c>
      <c r="F19" s="99" t="s">
        <v>203</v>
      </c>
      <c r="G19" s="99">
        <v>65</v>
      </c>
      <c r="H19" s="99">
        <v>35</v>
      </c>
      <c r="I19" s="99">
        <v>151</v>
      </c>
      <c r="J19" s="99">
        <v>1020</v>
      </c>
      <c r="K19" s="99">
        <v>22</v>
      </c>
      <c r="L19" s="99">
        <v>1215</v>
      </c>
      <c r="M19" s="99">
        <v>902</v>
      </c>
      <c r="N19" s="99">
        <v>449</v>
      </c>
      <c r="O19" s="99">
        <v>255</v>
      </c>
      <c r="P19" s="158">
        <v>255</v>
      </c>
      <c r="Q19" s="99">
        <v>46</v>
      </c>
      <c r="R19" s="99">
        <v>73</v>
      </c>
      <c r="S19" s="99">
        <v>40</v>
      </c>
      <c r="T19" s="99">
        <v>38</v>
      </c>
      <c r="U19" s="99">
        <v>10</v>
      </c>
      <c r="V19" s="99">
        <v>59</v>
      </c>
      <c r="W19" s="99">
        <v>76</v>
      </c>
      <c r="X19" s="99">
        <v>34</v>
      </c>
      <c r="Y19" s="99">
        <v>116</v>
      </c>
      <c r="Z19" s="99">
        <v>71</v>
      </c>
      <c r="AA19" s="99">
        <v>20</v>
      </c>
      <c r="AB19" s="99">
        <v>37</v>
      </c>
      <c r="AC19" s="99">
        <v>24</v>
      </c>
      <c r="AD19" s="98" t="s">
        <v>181</v>
      </c>
      <c r="AE19" s="100">
        <v>0.36660389202762084</v>
      </c>
      <c r="AF19" s="100">
        <v>0.08</v>
      </c>
      <c r="AG19" s="98">
        <v>816.0703075957314</v>
      </c>
      <c r="AH19" s="98">
        <v>439.4224733207784</v>
      </c>
      <c r="AI19" s="100">
        <v>0.019</v>
      </c>
      <c r="AJ19" s="100">
        <v>0.785219</v>
      </c>
      <c r="AK19" s="100">
        <v>0.594595</v>
      </c>
      <c r="AL19" s="100">
        <v>0.786408</v>
      </c>
      <c r="AM19" s="100">
        <v>0.660806</v>
      </c>
      <c r="AN19" s="100">
        <v>0.635977</v>
      </c>
      <c r="AO19" s="98">
        <v>3201.5065913371</v>
      </c>
      <c r="AP19" s="157">
        <v>1.0837999999999999</v>
      </c>
      <c r="AQ19" s="100">
        <v>0.1803921568627451</v>
      </c>
      <c r="AR19" s="100">
        <v>0.6301369863013698</v>
      </c>
      <c r="AS19" s="98">
        <v>502.1971123666039</v>
      </c>
      <c r="AT19" s="98">
        <v>477.0872567482737</v>
      </c>
      <c r="AU19" s="98">
        <v>125.54927809165098</v>
      </c>
      <c r="AV19" s="98">
        <v>740.7407407407408</v>
      </c>
      <c r="AW19" s="98">
        <v>954.1745134965474</v>
      </c>
      <c r="AX19" s="98">
        <v>426.8675455116133</v>
      </c>
      <c r="AY19" s="98">
        <v>1456.3716258631514</v>
      </c>
      <c r="AZ19" s="98">
        <v>891.3998744507219</v>
      </c>
      <c r="BA19" s="100">
        <v>0.24691358024691357</v>
      </c>
      <c r="BB19" s="100">
        <v>0.4567901234567901</v>
      </c>
      <c r="BC19" s="100">
        <v>0.2962962962962963</v>
      </c>
      <c r="BD19" s="157">
        <v>0.9548000000000001</v>
      </c>
      <c r="BE19" s="157">
        <v>1.2253</v>
      </c>
      <c r="BF19" s="161">
        <v>1299</v>
      </c>
      <c r="BG19" s="161">
        <v>37</v>
      </c>
      <c r="BH19" s="161">
        <v>1545</v>
      </c>
      <c r="BI19" s="161">
        <v>1365</v>
      </c>
      <c r="BJ19" s="161">
        <v>706</v>
      </c>
      <c r="BK19" s="97"/>
      <c r="BL19" s="97"/>
      <c r="BM19" s="97"/>
      <c r="BN19" s="97"/>
    </row>
    <row r="20" spans="1:66" ht="12.75">
      <c r="A20" s="79" t="s">
        <v>408</v>
      </c>
      <c r="B20" s="79" t="s">
        <v>137</v>
      </c>
      <c r="C20" s="79" t="s">
        <v>392</v>
      </c>
      <c r="D20" s="99">
        <v>5981</v>
      </c>
      <c r="E20" s="99">
        <v>897</v>
      </c>
      <c r="F20" s="99" t="s">
        <v>200</v>
      </c>
      <c r="G20" s="99">
        <v>34</v>
      </c>
      <c r="H20" s="99">
        <v>15</v>
      </c>
      <c r="I20" s="99">
        <v>105</v>
      </c>
      <c r="J20" s="99">
        <v>498</v>
      </c>
      <c r="K20" s="99">
        <v>6</v>
      </c>
      <c r="L20" s="99">
        <v>1097</v>
      </c>
      <c r="M20" s="99">
        <v>315</v>
      </c>
      <c r="N20" s="99">
        <v>164</v>
      </c>
      <c r="O20" s="99">
        <v>148</v>
      </c>
      <c r="P20" s="158">
        <v>148</v>
      </c>
      <c r="Q20" s="99">
        <v>20</v>
      </c>
      <c r="R20" s="99">
        <v>37</v>
      </c>
      <c r="S20" s="99">
        <v>26</v>
      </c>
      <c r="T20" s="99">
        <v>18</v>
      </c>
      <c r="U20" s="99">
        <v>7</v>
      </c>
      <c r="V20" s="99">
        <v>41</v>
      </c>
      <c r="W20" s="99">
        <v>33</v>
      </c>
      <c r="X20" s="99">
        <v>13</v>
      </c>
      <c r="Y20" s="99">
        <v>41</v>
      </c>
      <c r="Z20" s="99">
        <v>28</v>
      </c>
      <c r="AA20" s="99" t="s">
        <v>972</v>
      </c>
      <c r="AB20" s="99">
        <v>19</v>
      </c>
      <c r="AC20" s="99" t="s">
        <v>972</v>
      </c>
      <c r="AD20" s="98" t="s">
        <v>181</v>
      </c>
      <c r="AE20" s="100">
        <v>0.1499749205818425</v>
      </c>
      <c r="AF20" s="100">
        <v>0.24</v>
      </c>
      <c r="AG20" s="98">
        <v>568.4668115699716</v>
      </c>
      <c r="AH20" s="98">
        <v>250.79418157498745</v>
      </c>
      <c r="AI20" s="100">
        <v>0.0176</v>
      </c>
      <c r="AJ20" s="100">
        <v>0.744395</v>
      </c>
      <c r="AK20" s="100">
        <v>0.545455</v>
      </c>
      <c r="AL20" s="100">
        <v>0.768746</v>
      </c>
      <c r="AM20" s="100">
        <v>0.571688</v>
      </c>
      <c r="AN20" s="100">
        <v>0.563574</v>
      </c>
      <c r="AO20" s="98">
        <v>2474.5025915398764</v>
      </c>
      <c r="AP20" s="157">
        <v>1.3269</v>
      </c>
      <c r="AQ20" s="100">
        <v>0.13513513513513514</v>
      </c>
      <c r="AR20" s="100">
        <v>0.5405405405405406</v>
      </c>
      <c r="AS20" s="98">
        <v>434.70991472997827</v>
      </c>
      <c r="AT20" s="98">
        <v>300.95301788998495</v>
      </c>
      <c r="AU20" s="98">
        <v>117.03728473499415</v>
      </c>
      <c r="AV20" s="98">
        <v>685.5040963049657</v>
      </c>
      <c r="AW20" s="98">
        <v>551.7471994649724</v>
      </c>
      <c r="AX20" s="98">
        <v>217.35495736498913</v>
      </c>
      <c r="AY20" s="98">
        <v>685.5040963049657</v>
      </c>
      <c r="AZ20" s="98">
        <v>468.1491389399766</v>
      </c>
      <c r="BA20" s="100" t="s">
        <v>972</v>
      </c>
      <c r="BB20" s="100">
        <v>0.6333333333333333</v>
      </c>
      <c r="BC20" s="100" t="s">
        <v>972</v>
      </c>
      <c r="BD20" s="157">
        <v>1.1217</v>
      </c>
      <c r="BE20" s="157">
        <v>1.5587</v>
      </c>
      <c r="BF20" s="161">
        <v>669</v>
      </c>
      <c r="BG20" s="161">
        <v>11</v>
      </c>
      <c r="BH20" s="161">
        <v>1427</v>
      </c>
      <c r="BI20" s="161">
        <v>551</v>
      </c>
      <c r="BJ20" s="161">
        <v>291</v>
      </c>
      <c r="BK20" s="97"/>
      <c r="BL20" s="97"/>
      <c r="BM20" s="97"/>
      <c r="BN20" s="97"/>
    </row>
    <row r="21" spans="1:66" ht="12.75">
      <c r="A21" s="79" t="s">
        <v>332</v>
      </c>
      <c r="B21" s="79" t="s">
        <v>127</v>
      </c>
      <c r="C21" s="79" t="s">
        <v>392</v>
      </c>
      <c r="D21" s="99">
        <v>11768</v>
      </c>
      <c r="E21" s="99">
        <v>2863</v>
      </c>
      <c r="F21" s="99" t="s">
        <v>201</v>
      </c>
      <c r="G21" s="99">
        <v>76</v>
      </c>
      <c r="H21" s="99">
        <v>40</v>
      </c>
      <c r="I21" s="99">
        <v>282</v>
      </c>
      <c r="J21" s="99">
        <v>1243</v>
      </c>
      <c r="K21" s="99">
        <v>14</v>
      </c>
      <c r="L21" s="99">
        <v>2197</v>
      </c>
      <c r="M21" s="99">
        <v>1029</v>
      </c>
      <c r="N21" s="99">
        <v>501</v>
      </c>
      <c r="O21" s="99">
        <v>281</v>
      </c>
      <c r="P21" s="158">
        <v>281</v>
      </c>
      <c r="Q21" s="99">
        <v>26</v>
      </c>
      <c r="R21" s="99">
        <v>59</v>
      </c>
      <c r="S21" s="99">
        <v>67</v>
      </c>
      <c r="T21" s="99">
        <v>53</v>
      </c>
      <c r="U21" s="99">
        <v>11</v>
      </c>
      <c r="V21" s="99">
        <v>28</v>
      </c>
      <c r="W21" s="99">
        <v>49</v>
      </c>
      <c r="X21" s="99">
        <v>69</v>
      </c>
      <c r="Y21" s="99">
        <v>100</v>
      </c>
      <c r="Z21" s="99">
        <v>79</v>
      </c>
      <c r="AA21" s="99">
        <v>24</v>
      </c>
      <c r="AB21" s="99">
        <v>51</v>
      </c>
      <c r="AC21" s="99">
        <v>35</v>
      </c>
      <c r="AD21" s="98" t="s">
        <v>181</v>
      </c>
      <c r="AE21" s="100">
        <v>0.24328687967369136</v>
      </c>
      <c r="AF21" s="100">
        <v>0.09</v>
      </c>
      <c r="AG21" s="98">
        <v>645.819170632223</v>
      </c>
      <c r="AH21" s="98">
        <v>339.9048266485384</v>
      </c>
      <c r="AI21" s="100">
        <v>0.024</v>
      </c>
      <c r="AJ21" s="100">
        <v>0.77157</v>
      </c>
      <c r="AK21" s="100">
        <v>0.538462</v>
      </c>
      <c r="AL21" s="100">
        <v>0.800364</v>
      </c>
      <c r="AM21" s="100">
        <v>0.662589</v>
      </c>
      <c r="AN21" s="100">
        <v>0.642308</v>
      </c>
      <c r="AO21" s="98">
        <v>2387.8314072059825</v>
      </c>
      <c r="AP21" s="157">
        <v>1.0058</v>
      </c>
      <c r="AQ21" s="100">
        <v>0.09252669039145907</v>
      </c>
      <c r="AR21" s="100">
        <v>0.4406779661016949</v>
      </c>
      <c r="AS21" s="98">
        <v>569.3405846363019</v>
      </c>
      <c r="AT21" s="98">
        <v>450.3738953093134</v>
      </c>
      <c r="AU21" s="98">
        <v>93.47382732834807</v>
      </c>
      <c r="AV21" s="98">
        <v>237.9333786539769</v>
      </c>
      <c r="AW21" s="98">
        <v>416.38341264445955</v>
      </c>
      <c r="AX21" s="98">
        <v>586.3358259687287</v>
      </c>
      <c r="AY21" s="98">
        <v>849.762066621346</v>
      </c>
      <c r="AZ21" s="98">
        <v>671.3120326308633</v>
      </c>
      <c r="BA21" s="100">
        <v>0.21818181818181817</v>
      </c>
      <c r="BB21" s="100">
        <v>0.4636363636363636</v>
      </c>
      <c r="BC21" s="100">
        <v>0.3181818181818182</v>
      </c>
      <c r="BD21" s="157">
        <v>0.8916</v>
      </c>
      <c r="BE21" s="157">
        <v>1.1306</v>
      </c>
      <c r="BF21" s="161">
        <v>1611</v>
      </c>
      <c r="BG21" s="161">
        <v>26</v>
      </c>
      <c r="BH21" s="161">
        <v>2745</v>
      </c>
      <c r="BI21" s="161">
        <v>1553</v>
      </c>
      <c r="BJ21" s="161">
        <v>780</v>
      </c>
      <c r="BK21" s="97"/>
      <c r="BL21" s="97"/>
      <c r="BM21" s="97"/>
      <c r="BN21" s="97"/>
    </row>
    <row r="22" spans="1:66" ht="12.75">
      <c r="A22" s="79" t="s">
        <v>336</v>
      </c>
      <c r="B22" s="79" t="s">
        <v>132</v>
      </c>
      <c r="C22" s="79" t="s">
        <v>392</v>
      </c>
      <c r="D22" s="99">
        <v>6515</v>
      </c>
      <c r="E22" s="99">
        <v>1487</v>
      </c>
      <c r="F22" s="99" t="s">
        <v>201</v>
      </c>
      <c r="G22" s="99">
        <v>33</v>
      </c>
      <c r="H22" s="99">
        <v>11</v>
      </c>
      <c r="I22" s="99">
        <v>155</v>
      </c>
      <c r="J22" s="99">
        <v>884</v>
      </c>
      <c r="K22" s="99">
        <v>843</v>
      </c>
      <c r="L22" s="99">
        <v>1249</v>
      </c>
      <c r="M22" s="99">
        <v>652</v>
      </c>
      <c r="N22" s="99">
        <v>322</v>
      </c>
      <c r="O22" s="99">
        <v>220</v>
      </c>
      <c r="P22" s="158">
        <v>220</v>
      </c>
      <c r="Q22" s="99">
        <v>15</v>
      </c>
      <c r="R22" s="99">
        <v>36</v>
      </c>
      <c r="S22" s="99">
        <v>35</v>
      </c>
      <c r="T22" s="99">
        <v>59</v>
      </c>
      <c r="U22" s="99">
        <v>6</v>
      </c>
      <c r="V22" s="99">
        <v>23</v>
      </c>
      <c r="W22" s="99">
        <v>62</v>
      </c>
      <c r="X22" s="99">
        <v>40</v>
      </c>
      <c r="Y22" s="99">
        <v>65</v>
      </c>
      <c r="Z22" s="99">
        <v>30</v>
      </c>
      <c r="AA22" s="99" t="s">
        <v>972</v>
      </c>
      <c r="AB22" s="99">
        <v>30</v>
      </c>
      <c r="AC22" s="99" t="s">
        <v>972</v>
      </c>
      <c r="AD22" s="98" t="s">
        <v>181</v>
      </c>
      <c r="AE22" s="100">
        <v>0.22824251726784345</v>
      </c>
      <c r="AF22" s="100">
        <v>0.11</v>
      </c>
      <c r="AG22" s="98">
        <v>506.5234075211051</v>
      </c>
      <c r="AH22" s="98">
        <v>168.8411358403684</v>
      </c>
      <c r="AI22" s="100">
        <v>0.023799999999999998</v>
      </c>
      <c r="AJ22" s="100">
        <v>0.823858</v>
      </c>
      <c r="AK22" s="100">
        <v>0.809021</v>
      </c>
      <c r="AL22" s="100">
        <v>0.803732</v>
      </c>
      <c r="AM22" s="100">
        <v>0.629952</v>
      </c>
      <c r="AN22" s="100">
        <v>0.625243</v>
      </c>
      <c r="AO22" s="98">
        <v>3376.8227168073677</v>
      </c>
      <c r="AP22" s="157">
        <v>1.4103999999999999</v>
      </c>
      <c r="AQ22" s="100">
        <v>0.06818181818181818</v>
      </c>
      <c r="AR22" s="100">
        <v>0.4166666666666667</v>
      </c>
      <c r="AS22" s="98">
        <v>537.2217958557176</v>
      </c>
      <c r="AT22" s="98">
        <v>905.6024558710668</v>
      </c>
      <c r="AU22" s="98">
        <v>92.0951650038373</v>
      </c>
      <c r="AV22" s="98">
        <v>353.03146584804296</v>
      </c>
      <c r="AW22" s="98">
        <v>951.6500383729854</v>
      </c>
      <c r="AX22" s="98">
        <v>613.9677666922487</v>
      </c>
      <c r="AY22" s="98">
        <v>997.697620874904</v>
      </c>
      <c r="AZ22" s="98">
        <v>460.4758250191865</v>
      </c>
      <c r="BA22" s="101" t="s">
        <v>972</v>
      </c>
      <c r="BB22" s="101">
        <v>0.7317073170731707</v>
      </c>
      <c r="BC22" s="101" t="s">
        <v>972</v>
      </c>
      <c r="BD22" s="157">
        <v>1.2302</v>
      </c>
      <c r="BE22" s="157">
        <v>1.6097</v>
      </c>
      <c r="BF22" s="161">
        <v>1073</v>
      </c>
      <c r="BG22" s="161">
        <v>1042</v>
      </c>
      <c r="BH22" s="161">
        <v>1554</v>
      </c>
      <c r="BI22" s="161">
        <v>1035</v>
      </c>
      <c r="BJ22" s="161">
        <v>515</v>
      </c>
      <c r="BK22" s="97"/>
      <c r="BL22" s="97"/>
      <c r="BM22" s="97"/>
      <c r="BN22" s="97"/>
    </row>
    <row r="23" spans="1:66" ht="12.75">
      <c r="A23" s="79" t="s">
        <v>301</v>
      </c>
      <c r="B23" s="79" t="s">
        <v>91</v>
      </c>
      <c r="C23" s="79" t="s">
        <v>392</v>
      </c>
      <c r="D23" s="99">
        <v>15097</v>
      </c>
      <c r="E23" s="99">
        <v>2886</v>
      </c>
      <c r="F23" s="99" t="s">
        <v>202</v>
      </c>
      <c r="G23" s="99">
        <v>60</v>
      </c>
      <c r="H23" s="99">
        <v>39</v>
      </c>
      <c r="I23" s="99">
        <v>265</v>
      </c>
      <c r="J23" s="99">
        <v>1625</v>
      </c>
      <c r="K23" s="99">
        <v>33</v>
      </c>
      <c r="L23" s="99">
        <v>2873</v>
      </c>
      <c r="M23" s="99">
        <v>1106</v>
      </c>
      <c r="N23" s="99">
        <v>517</v>
      </c>
      <c r="O23" s="99">
        <v>385</v>
      </c>
      <c r="P23" s="158">
        <v>385</v>
      </c>
      <c r="Q23" s="99">
        <v>39</v>
      </c>
      <c r="R23" s="99">
        <v>75</v>
      </c>
      <c r="S23" s="99">
        <v>79</v>
      </c>
      <c r="T23" s="99">
        <v>64</v>
      </c>
      <c r="U23" s="99">
        <v>14</v>
      </c>
      <c r="V23" s="99">
        <v>58</v>
      </c>
      <c r="W23" s="99">
        <v>110</v>
      </c>
      <c r="X23" s="99">
        <v>64</v>
      </c>
      <c r="Y23" s="99">
        <v>152</v>
      </c>
      <c r="Z23" s="99">
        <v>111</v>
      </c>
      <c r="AA23" s="99">
        <v>14</v>
      </c>
      <c r="AB23" s="99">
        <v>38</v>
      </c>
      <c r="AC23" s="99">
        <v>28</v>
      </c>
      <c r="AD23" s="98" t="s">
        <v>181</v>
      </c>
      <c r="AE23" s="100">
        <v>0.19116380737894945</v>
      </c>
      <c r="AF23" s="100">
        <v>0.13</v>
      </c>
      <c r="AG23" s="98">
        <v>397.4299529707889</v>
      </c>
      <c r="AH23" s="98">
        <v>258.3294694310128</v>
      </c>
      <c r="AI23" s="100">
        <v>0.0176</v>
      </c>
      <c r="AJ23" s="100">
        <v>0.816993</v>
      </c>
      <c r="AK23" s="100">
        <v>0.647059</v>
      </c>
      <c r="AL23" s="100">
        <v>0.816657</v>
      </c>
      <c r="AM23" s="100">
        <v>0.605364</v>
      </c>
      <c r="AN23" s="100">
        <v>0.591533</v>
      </c>
      <c r="AO23" s="98">
        <v>2550.175531562562</v>
      </c>
      <c r="AP23" s="157">
        <v>1.1984000000000001</v>
      </c>
      <c r="AQ23" s="100">
        <v>0.1012987012987013</v>
      </c>
      <c r="AR23" s="100">
        <v>0.52</v>
      </c>
      <c r="AS23" s="98">
        <v>523.2827714115388</v>
      </c>
      <c r="AT23" s="98">
        <v>423.9252831688415</v>
      </c>
      <c r="AU23" s="98">
        <v>92.73365569318408</v>
      </c>
      <c r="AV23" s="98">
        <v>384.1822878717626</v>
      </c>
      <c r="AW23" s="98">
        <v>728.6215804464463</v>
      </c>
      <c r="AX23" s="98">
        <v>423.9252831688415</v>
      </c>
      <c r="AY23" s="98">
        <v>1006.8225475259985</v>
      </c>
      <c r="AZ23" s="98">
        <v>735.2454129959594</v>
      </c>
      <c r="BA23" s="100">
        <v>0.175</v>
      </c>
      <c r="BB23" s="100">
        <v>0.475</v>
      </c>
      <c r="BC23" s="100">
        <v>0.35</v>
      </c>
      <c r="BD23" s="157">
        <v>1.0816</v>
      </c>
      <c r="BE23" s="157">
        <v>1.3241999999999998</v>
      </c>
      <c r="BF23" s="161">
        <v>1989</v>
      </c>
      <c r="BG23" s="161">
        <v>51</v>
      </c>
      <c r="BH23" s="161">
        <v>3518</v>
      </c>
      <c r="BI23" s="161">
        <v>1827</v>
      </c>
      <c r="BJ23" s="161">
        <v>874</v>
      </c>
      <c r="BK23" s="97"/>
      <c r="BL23" s="97"/>
      <c r="BM23" s="97"/>
      <c r="BN23" s="97"/>
    </row>
    <row r="24" spans="1:66" ht="12.75">
      <c r="A24" s="79" t="s">
        <v>322</v>
      </c>
      <c r="B24" s="79" t="s">
        <v>115</v>
      </c>
      <c r="C24" s="79" t="s">
        <v>392</v>
      </c>
      <c r="D24" s="99">
        <v>3054</v>
      </c>
      <c r="E24" s="99">
        <v>785</v>
      </c>
      <c r="F24" s="99" t="s">
        <v>201</v>
      </c>
      <c r="G24" s="99">
        <v>22</v>
      </c>
      <c r="H24" s="99">
        <v>12</v>
      </c>
      <c r="I24" s="99">
        <v>100</v>
      </c>
      <c r="J24" s="99">
        <v>453</v>
      </c>
      <c r="K24" s="99">
        <v>400</v>
      </c>
      <c r="L24" s="99">
        <v>629</v>
      </c>
      <c r="M24" s="99">
        <v>321</v>
      </c>
      <c r="N24" s="99">
        <v>154</v>
      </c>
      <c r="O24" s="99">
        <v>85</v>
      </c>
      <c r="P24" s="158">
        <v>85</v>
      </c>
      <c r="Q24" s="99">
        <v>11</v>
      </c>
      <c r="R24" s="99">
        <v>27</v>
      </c>
      <c r="S24" s="99">
        <v>13</v>
      </c>
      <c r="T24" s="99">
        <v>20</v>
      </c>
      <c r="U24" s="99" t="s">
        <v>972</v>
      </c>
      <c r="V24" s="99">
        <v>6</v>
      </c>
      <c r="W24" s="99">
        <v>33</v>
      </c>
      <c r="X24" s="99">
        <v>10</v>
      </c>
      <c r="Y24" s="99">
        <v>35</v>
      </c>
      <c r="Z24" s="99">
        <v>26</v>
      </c>
      <c r="AA24" s="99" t="s">
        <v>972</v>
      </c>
      <c r="AB24" s="99" t="s">
        <v>972</v>
      </c>
      <c r="AC24" s="99" t="s">
        <v>972</v>
      </c>
      <c r="AD24" s="98" t="s">
        <v>181</v>
      </c>
      <c r="AE24" s="100">
        <v>0.25703994760969223</v>
      </c>
      <c r="AF24" s="100">
        <v>0.1</v>
      </c>
      <c r="AG24" s="98">
        <v>720.3667321545514</v>
      </c>
      <c r="AH24" s="98">
        <v>392.92730844793715</v>
      </c>
      <c r="AI24" s="100">
        <v>0.0327</v>
      </c>
      <c r="AJ24" s="100">
        <v>0.810376</v>
      </c>
      <c r="AK24" s="100">
        <v>0.735294</v>
      </c>
      <c r="AL24" s="100">
        <v>0.820078</v>
      </c>
      <c r="AM24" s="100">
        <v>0.6</v>
      </c>
      <c r="AN24" s="100">
        <v>0.578947</v>
      </c>
      <c r="AO24" s="98">
        <v>2783.2351015062213</v>
      </c>
      <c r="AP24" s="157">
        <v>1.065</v>
      </c>
      <c r="AQ24" s="100">
        <v>0.12941176470588237</v>
      </c>
      <c r="AR24" s="100">
        <v>0.4074074074074074</v>
      </c>
      <c r="AS24" s="98">
        <v>425.67125081859854</v>
      </c>
      <c r="AT24" s="98">
        <v>654.8788474132285</v>
      </c>
      <c r="AU24" s="98" t="s">
        <v>972</v>
      </c>
      <c r="AV24" s="98">
        <v>196.46365422396858</v>
      </c>
      <c r="AW24" s="98">
        <v>1080.5500982318272</v>
      </c>
      <c r="AX24" s="98">
        <v>327.43942370661426</v>
      </c>
      <c r="AY24" s="98">
        <v>1146.03798297315</v>
      </c>
      <c r="AZ24" s="98">
        <v>851.3425016371971</v>
      </c>
      <c r="BA24" s="100" t="s">
        <v>972</v>
      </c>
      <c r="BB24" s="100" t="s">
        <v>972</v>
      </c>
      <c r="BC24" s="100" t="s">
        <v>972</v>
      </c>
      <c r="BD24" s="157">
        <v>0.8506999999999999</v>
      </c>
      <c r="BE24" s="157">
        <v>1.3169</v>
      </c>
      <c r="BF24" s="161">
        <v>559</v>
      </c>
      <c r="BG24" s="161">
        <v>544</v>
      </c>
      <c r="BH24" s="161">
        <v>767</v>
      </c>
      <c r="BI24" s="161">
        <v>535</v>
      </c>
      <c r="BJ24" s="161">
        <v>266</v>
      </c>
      <c r="BK24" s="97"/>
      <c r="BL24" s="97"/>
      <c r="BM24" s="97"/>
      <c r="BN24" s="97"/>
    </row>
    <row r="25" spans="1:66" ht="12.75">
      <c r="A25" s="79" t="s">
        <v>373</v>
      </c>
      <c r="B25" s="79" t="s">
        <v>175</v>
      </c>
      <c r="C25" s="79" t="s">
        <v>392</v>
      </c>
      <c r="D25" s="99">
        <v>2338</v>
      </c>
      <c r="E25" s="99">
        <v>647</v>
      </c>
      <c r="F25" s="99" t="s">
        <v>201</v>
      </c>
      <c r="G25" s="99">
        <v>11</v>
      </c>
      <c r="H25" s="99">
        <v>6</v>
      </c>
      <c r="I25" s="99">
        <v>58</v>
      </c>
      <c r="J25" s="99">
        <v>246</v>
      </c>
      <c r="K25" s="99" t="s">
        <v>972</v>
      </c>
      <c r="L25" s="99">
        <v>431</v>
      </c>
      <c r="M25" s="99">
        <v>202</v>
      </c>
      <c r="N25" s="99">
        <v>110</v>
      </c>
      <c r="O25" s="99">
        <v>53</v>
      </c>
      <c r="P25" s="158">
        <v>53</v>
      </c>
      <c r="Q25" s="99">
        <v>10</v>
      </c>
      <c r="R25" s="99">
        <v>18</v>
      </c>
      <c r="S25" s="99">
        <v>21</v>
      </c>
      <c r="T25" s="99" t="s">
        <v>972</v>
      </c>
      <c r="U25" s="99" t="s">
        <v>972</v>
      </c>
      <c r="V25" s="99">
        <v>16</v>
      </c>
      <c r="W25" s="99">
        <v>13</v>
      </c>
      <c r="X25" s="99">
        <v>10</v>
      </c>
      <c r="Y25" s="99">
        <v>24</v>
      </c>
      <c r="Z25" s="99">
        <v>15</v>
      </c>
      <c r="AA25" s="99" t="s">
        <v>972</v>
      </c>
      <c r="AB25" s="99" t="s">
        <v>972</v>
      </c>
      <c r="AC25" s="99" t="s">
        <v>972</v>
      </c>
      <c r="AD25" s="98" t="s">
        <v>181</v>
      </c>
      <c r="AE25" s="100">
        <v>0.276732249786142</v>
      </c>
      <c r="AF25" s="100">
        <v>0.08</v>
      </c>
      <c r="AG25" s="98">
        <v>470.48759623609925</v>
      </c>
      <c r="AH25" s="98">
        <v>256.6295979469632</v>
      </c>
      <c r="AI25" s="100">
        <v>0.0248</v>
      </c>
      <c r="AJ25" s="100">
        <v>0.689076</v>
      </c>
      <c r="AK25" s="100" t="s">
        <v>972</v>
      </c>
      <c r="AL25" s="100">
        <v>0.80863</v>
      </c>
      <c r="AM25" s="100">
        <v>0.597633</v>
      </c>
      <c r="AN25" s="100">
        <v>0.575916</v>
      </c>
      <c r="AO25" s="98">
        <v>2266.8947818648417</v>
      </c>
      <c r="AP25" s="157">
        <v>0.8608</v>
      </c>
      <c r="AQ25" s="100">
        <v>0.18867924528301888</v>
      </c>
      <c r="AR25" s="100">
        <v>0.5555555555555556</v>
      </c>
      <c r="AS25" s="98">
        <v>898.2035928143713</v>
      </c>
      <c r="AT25" s="98" t="s">
        <v>972</v>
      </c>
      <c r="AU25" s="98" t="s">
        <v>972</v>
      </c>
      <c r="AV25" s="98">
        <v>684.3455945252352</v>
      </c>
      <c r="AW25" s="98">
        <v>556.0307955517536</v>
      </c>
      <c r="AX25" s="98">
        <v>427.71599657827204</v>
      </c>
      <c r="AY25" s="98">
        <v>1026.5183917878528</v>
      </c>
      <c r="AZ25" s="98">
        <v>641.573994867408</v>
      </c>
      <c r="BA25" s="100" t="s">
        <v>972</v>
      </c>
      <c r="BB25" s="100" t="s">
        <v>972</v>
      </c>
      <c r="BC25" s="100" t="s">
        <v>972</v>
      </c>
      <c r="BD25" s="157">
        <v>0.6448</v>
      </c>
      <c r="BE25" s="157">
        <v>1.1259000000000001</v>
      </c>
      <c r="BF25" s="161">
        <v>357</v>
      </c>
      <c r="BG25" s="161" t="s">
        <v>972</v>
      </c>
      <c r="BH25" s="161">
        <v>533</v>
      </c>
      <c r="BI25" s="161">
        <v>338</v>
      </c>
      <c r="BJ25" s="161">
        <v>191</v>
      </c>
      <c r="BK25" s="97"/>
      <c r="BL25" s="97"/>
      <c r="BM25" s="97"/>
      <c r="BN25" s="97"/>
    </row>
    <row r="26" spans="1:66" ht="12.75">
      <c r="A26" s="79" t="s">
        <v>293</v>
      </c>
      <c r="B26" s="79" t="s">
        <v>80</v>
      </c>
      <c r="C26" s="79" t="s">
        <v>392</v>
      </c>
      <c r="D26" s="99">
        <v>8381</v>
      </c>
      <c r="E26" s="99">
        <v>1258</v>
      </c>
      <c r="F26" s="99" t="s">
        <v>200</v>
      </c>
      <c r="G26" s="99">
        <v>61</v>
      </c>
      <c r="H26" s="99">
        <v>21</v>
      </c>
      <c r="I26" s="99">
        <v>163</v>
      </c>
      <c r="J26" s="99">
        <v>679</v>
      </c>
      <c r="K26" s="99">
        <v>418</v>
      </c>
      <c r="L26" s="99">
        <v>1507</v>
      </c>
      <c r="M26" s="99">
        <v>442</v>
      </c>
      <c r="N26" s="99">
        <v>229</v>
      </c>
      <c r="O26" s="99">
        <v>319</v>
      </c>
      <c r="P26" s="158">
        <v>319</v>
      </c>
      <c r="Q26" s="99">
        <v>30</v>
      </c>
      <c r="R26" s="99">
        <v>53</v>
      </c>
      <c r="S26" s="99">
        <v>28</v>
      </c>
      <c r="T26" s="99">
        <v>35</v>
      </c>
      <c r="U26" s="99">
        <v>14</v>
      </c>
      <c r="V26" s="99">
        <v>65</v>
      </c>
      <c r="W26" s="99">
        <v>90</v>
      </c>
      <c r="X26" s="99">
        <v>12</v>
      </c>
      <c r="Y26" s="99">
        <v>90</v>
      </c>
      <c r="Z26" s="99">
        <v>63</v>
      </c>
      <c r="AA26" s="99">
        <v>7</v>
      </c>
      <c r="AB26" s="99">
        <v>23</v>
      </c>
      <c r="AC26" s="99">
        <v>7</v>
      </c>
      <c r="AD26" s="98" t="s">
        <v>181</v>
      </c>
      <c r="AE26" s="100">
        <v>0.15010141987829614</v>
      </c>
      <c r="AF26" s="100">
        <v>0.22</v>
      </c>
      <c r="AG26" s="98">
        <v>727.8367736546951</v>
      </c>
      <c r="AH26" s="98">
        <v>250.56675814341963</v>
      </c>
      <c r="AI26" s="100">
        <v>0.0194</v>
      </c>
      <c r="AJ26" s="100">
        <v>0.683099</v>
      </c>
      <c r="AK26" s="100">
        <v>0.808511</v>
      </c>
      <c r="AL26" s="100">
        <v>0.747891</v>
      </c>
      <c r="AM26" s="100">
        <v>0.530612</v>
      </c>
      <c r="AN26" s="100">
        <v>0.522831</v>
      </c>
      <c r="AO26" s="98">
        <v>3806.2283737024222</v>
      </c>
      <c r="AP26" s="157">
        <v>1.9971</v>
      </c>
      <c r="AQ26" s="100">
        <v>0.09404388714733543</v>
      </c>
      <c r="AR26" s="100">
        <v>0.5660377358490566</v>
      </c>
      <c r="AS26" s="98">
        <v>334.08901085789284</v>
      </c>
      <c r="AT26" s="98">
        <v>417.61126357236606</v>
      </c>
      <c r="AU26" s="98">
        <v>167.04450542894642</v>
      </c>
      <c r="AV26" s="98">
        <v>775.5637752058227</v>
      </c>
      <c r="AW26" s="98">
        <v>1073.85753490037</v>
      </c>
      <c r="AX26" s="98">
        <v>143.18100465338264</v>
      </c>
      <c r="AY26" s="98">
        <v>1073.85753490037</v>
      </c>
      <c r="AZ26" s="98">
        <v>751.7002744302589</v>
      </c>
      <c r="BA26" s="100">
        <v>0.1891891891891892</v>
      </c>
      <c r="BB26" s="100">
        <v>0.6216216216216216</v>
      </c>
      <c r="BC26" s="100">
        <v>0.1891891891891892</v>
      </c>
      <c r="BD26" s="157">
        <v>1.784</v>
      </c>
      <c r="BE26" s="157">
        <v>2.2288</v>
      </c>
      <c r="BF26" s="161">
        <v>994</v>
      </c>
      <c r="BG26" s="161">
        <v>517</v>
      </c>
      <c r="BH26" s="161">
        <v>2015</v>
      </c>
      <c r="BI26" s="161">
        <v>833</v>
      </c>
      <c r="BJ26" s="161">
        <v>438</v>
      </c>
      <c r="BK26" s="97"/>
      <c r="BL26" s="97"/>
      <c r="BM26" s="97"/>
      <c r="BN26" s="97"/>
    </row>
    <row r="27" spans="1:66" ht="12.75">
      <c r="A27" s="79" t="s">
        <v>404</v>
      </c>
      <c r="B27" s="79" t="s">
        <v>129</v>
      </c>
      <c r="C27" s="79" t="s">
        <v>392</v>
      </c>
      <c r="D27" s="99">
        <v>5122</v>
      </c>
      <c r="E27" s="99">
        <v>1039</v>
      </c>
      <c r="F27" s="99" t="s">
        <v>201</v>
      </c>
      <c r="G27" s="99">
        <v>28</v>
      </c>
      <c r="H27" s="99">
        <v>11</v>
      </c>
      <c r="I27" s="99">
        <v>113</v>
      </c>
      <c r="J27" s="99">
        <v>428</v>
      </c>
      <c r="K27" s="99" t="s">
        <v>972</v>
      </c>
      <c r="L27" s="99">
        <v>916</v>
      </c>
      <c r="M27" s="99">
        <v>331</v>
      </c>
      <c r="N27" s="99">
        <v>162</v>
      </c>
      <c r="O27" s="99">
        <v>141</v>
      </c>
      <c r="P27" s="158">
        <v>141</v>
      </c>
      <c r="Q27" s="99">
        <v>13</v>
      </c>
      <c r="R27" s="99">
        <v>23</v>
      </c>
      <c r="S27" s="99">
        <v>23</v>
      </c>
      <c r="T27" s="99">
        <v>28</v>
      </c>
      <c r="U27" s="99">
        <v>7</v>
      </c>
      <c r="V27" s="99">
        <v>22</v>
      </c>
      <c r="W27" s="99">
        <v>39</v>
      </c>
      <c r="X27" s="99">
        <v>22</v>
      </c>
      <c r="Y27" s="99">
        <v>81</v>
      </c>
      <c r="Z27" s="99">
        <v>23</v>
      </c>
      <c r="AA27" s="99">
        <v>12</v>
      </c>
      <c r="AB27" s="99">
        <v>23</v>
      </c>
      <c r="AC27" s="99">
        <v>12</v>
      </c>
      <c r="AD27" s="98" t="s">
        <v>181</v>
      </c>
      <c r="AE27" s="100">
        <v>0.20285044904334246</v>
      </c>
      <c r="AF27" s="100">
        <v>0.11</v>
      </c>
      <c r="AG27" s="98">
        <v>546.6614603670441</v>
      </c>
      <c r="AH27" s="98">
        <v>214.7598594299102</v>
      </c>
      <c r="AI27" s="100">
        <v>0.022099999999999998</v>
      </c>
      <c r="AJ27" s="100">
        <v>0.672956</v>
      </c>
      <c r="AK27" s="100" t="s">
        <v>972</v>
      </c>
      <c r="AL27" s="100">
        <v>0.727562</v>
      </c>
      <c r="AM27" s="100">
        <v>0.554439</v>
      </c>
      <c r="AN27" s="100">
        <v>0.543624</v>
      </c>
      <c r="AO27" s="98">
        <v>2752.830925419758</v>
      </c>
      <c r="AP27" s="157">
        <v>1.2610999999999999</v>
      </c>
      <c r="AQ27" s="100">
        <v>0.09219858156028368</v>
      </c>
      <c r="AR27" s="100">
        <v>0.5652173913043478</v>
      </c>
      <c r="AS27" s="98">
        <v>449.0433424443577</v>
      </c>
      <c r="AT27" s="98">
        <v>546.6614603670441</v>
      </c>
      <c r="AU27" s="98">
        <v>136.66536509176103</v>
      </c>
      <c r="AV27" s="98">
        <v>429.5197188598204</v>
      </c>
      <c r="AW27" s="98">
        <v>761.4213197969543</v>
      </c>
      <c r="AX27" s="98">
        <v>429.5197188598204</v>
      </c>
      <c r="AY27" s="98">
        <v>1581.4135103475205</v>
      </c>
      <c r="AZ27" s="98">
        <v>449.0433424443577</v>
      </c>
      <c r="BA27" s="100">
        <v>0.2553191489361702</v>
      </c>
      <c r="BB27" s="100">
        <v>0.48936170212765956</v>
      </c>
      <c r="BC27" s="100">
        <v>0.2553191489361702</v>
      </c>
      <c r="BD27" s="157">
        <v>1.0615</v>
      </c>
      <c r="BE27" s="157">
        <v>1.4872</v>
      </c>
      <c r="BF27" s="161">
        <v>636</v>
      </c>
      <c r="BG27" s="161" t="s">
        <v>972</v>
      </c>
      <c r="BH27" s="161">
        <v>1259</v>
      </c>
      <c r="BI27" s="161">
        <v>597</v>
      </c>
      <c r="BJ27" s="161">
        <v>298</v>
      </c>
      <c r="BK27" s="97"/>
      <c r="BL27" s="97"/>
      <c r="BM27" s="97"/>
      <c r="BN27" s="97"/>
    </row>
    <row r="28" spans="1:66" ht="12.75">
      <c r="A28" s="79" t="s">
        <v>333</v>
      </c>
      <c r="B28" s="79" t="s">
        <v>128</v>
      </c>
      <c r="C28" s="79" t="s">
        <v>392</v>
      </c>
      <c r="D28" s="99">
        <v>4597</v>
      </c>
      <c r="E28" s="99">
        <v>1109</v>
      </c>
      <c r="F28" s="99" t="s">
        <v>203</v>
      </c>
      <c r="G28" s="99">
        <v>34</v>
      </c>
      <c r="H28" s="99">
        <v>8</v>
      </c>
      <c r="I28" s="99">
        <v>111</v>
      </c>
      <c r="J28" s="99">
        <v>600</v>
      </c>
      <c r="K28" s="99">
        <v>10</v>
      </c>
      <c r="L28" s="99">
        <v>965</v>
      </c>
      <c r="M28" s="99">
        <v>544</v>
      </c>
      <c r="N28" s="99">
        <v>248</v>
      </c>
      <c r="O28" s="99">
        <v>161</v>
      </c>
      <c r="P28" s="158">
        <v>161</v>
      </c>
      <c r="Q28" s="99">
        <v>15</v>
      </c>
      <c r="R28" s="99">
        <v>26</v>
      </c>
      <c r="S28" s="99">
        <v>28</v>
      </c>
      <c r="T28" s="99">
        <v>28</v>
      </c>
      <c r="U28" s="99">
        <v>8</v>
      </c>
      <c r="V28" s="99">
        <v>42</v>
      </c>
      <c r="W28" s="99">
        <v>45</v>
      </c>
      <c r="X28" s="99">
        <v>26</v>
      </c>
      <c r="Y28" s="99">
        <v>52</v>
      </c>
      <c r="Z28" s="99">
        <v>39</v>
      </c>
      <c r="AA28" s="99" t="s">
        <v>972</v>
      </c>
      <c r="AB28" s="99">
        <v>11</v>
      </c>
      <c r="AC28" s="99" t="s">
        <v>972</v>
      </c>
      <c r="AD28" s="98" t="s">
        <v>181</v>
      </c>
      <c r="AE28" s="100">
        <v>0.24124428975418752</v>
      </c>
      <c r="AF28" s="100">
        <v>0.08</v>
      </c>
      <c r="AG28" s="98">
        <v>739.61279095062</v>
      </c>
      <c r="AH28" s="98">
        <v>174.0265390472047</v>
      </c>
      <c r="AI28" s="100">
        <v>0.0241</v>
      </c>
      <c r="AJ28" s="100">
        <v>0.744417</v>
      </c>
      <c r="AK28" s="100">
        <v>0.416667</v>
      </c>
      <c r="AL28" s="100">
        <v>0.862377</v>
      </c>
      <c r="AM28" s="100">
        <v>0.662607</v>
      </c>
      <c r="AN28" s="100">
        <v>0.610837</v>
      </c>
      <c r="AO28" s="98">
        <v>3502.2840983249944</v>
      </c>
      <c r="AP28" s="157">
        <v>1.3897</v>
      </c>
      <c r="AQ28" s="100">
        <v>0.09316770186335403</v>
      </c>
      <c r="AR28" s="100">
        <v>0.5769230769230769</v>
      </c>
      <c r="AS28" s="98">
        <v>609.0928866652165</v>
      </c>
      <c r="AT28" s="98">
        <v>609.0928866652165</v>
      </c>
      <c r="AU28" s="98">
        <v>174.0265390472047</v>
      </c>
      <c r="AV28" s="98">
        <v>913.6393299978247</v>
      </c>
      <c r="AW28" s="98">
        <v>978.8992821405265</v>
      </c>
      <c r="AX28" s="98">
        <v>565.5862519034152</v>
      </c>
      <c r="AY28" s="98">
        <v>1131.1725038068305</v>
      </c>
      <c r="AZ28" s="98">
        <v>848.3793778551229</v>
      </c>
      <c r="BA28" s="100" t="s">
        <v>972</v>
      </c>
      <c r="BB28" s="100">
        <v>0.4583333333333333</v>
      </c>
      <c r="BC28" s="100" t="s">
        <v>972</v>
      </c>
      <c r="BD28" s="157">
        <v>1.1833</v>
      </c>
      <c r="BE28" s="157">
        <v>1.6217</v>
      </c>
      <c r="BF28" s="161">
        <v>806</v>
      </c>
      <c r="BG28" s="161">
        <v>24</v>
      </c>
      <c r="BH28" s="161">
        <v>1119</v>
      </c>
      <c r="BI28" s="161">
        <v>821</v>
      </c>
      <c r="BJ28" s="161">
        <v>406</v>
      </c>
      <c r="BK28" s="97"/>
      <c r="BL28" s="97"/>
      <c r="BM28" s="97"/>
      <c r="BN28" s="97"/>
    </row>
    <row r="29" spans="1:66" ht="12.75">
      <c r="A29" s="79" t="s">
        <v>310</v>
      </c>
      <c r="B29" s="79" t="s">
        <v>100</v>
      </c>
      <c r="C29" s="79" t="s">
        <v>392</v>
      </c>
      <c r="D29" s="99">
        <v>7410</v>
      </c>
      <c r="E29" s="99">
        <v>1573</v>
      </c>
      <c r="F29" s="99" t="s">
        <v>201</v>
      </c>
      <c r="G29" s="99">
        <v>40</v>
      </c>
      <c r="H29" s="99">
        <v>19</v>
      </c>
      <c r="I29" s="99">
        <v>197</v>
      </c>
      <c r="J29" s="99">
        <v>943</v>
      </c>
      <c r="K29" s="99">
        <v>10</v>
      </c>
      <c r="L29" s="99">
        <v>1363</v>
      </c>
      <c r="M29" s="99">
        <v>735</v>
      </c>
      <c r="N29" s="99">
        <v>340</v>
      </c>
      <c r="O29" s="99">
        <v>229</v>
      </c>
      <c r="P29" s="158">
        <v>229</v>
      </c>
      <c r="Q29" s="99">
        <v>20</v>
      </c>
      <c r="R29" s="99">
        <v>44</v>
      </c>
      <c r="S29" s="99">
        <v>38</v>
      </c>
      <c r="T29" s="99">
        <v>38</v>
      </c>
      <c r="U29" s="99" t="s">
        <v>972</v>
      </c>
      <c r="V29" s="99">
        <v>35</v>
      </c>
      <c r="W29" s="99">
        <v>73</v>
      </c>
      <c r="X29" s="99">
        <v>33</v>
      </c>
      <c r="Y29" s="99">
        <v>116</v>
      </c>
      <c r="Z29" s="99">
        <v>65</v>
      </c>
      <c r="AA29" s="99">
        <v>7</v>
      </c>
      <c r="AB29" s="99">
        <v>23</v>
      </c>
      <c r="AC29" s="99">
        <v>18</v>
      </c>
      <c r="AD29" s="98" t="s">
        <v>181</v>
      </c>
      <c r="AE29" s="100">
        <v>0.21228070175438596</v>
      </c>
      <c r="AF29" s="100">
        <v>0.1</v>
      </c>
      <c r="AG29" s="98">
        <v>539.8110661268556</v>
      </c>
      <c r="AH29" s="98">
        <v>256.4102564102564</v>
      </c>
      <c r="AI29" s="100">
        <v>0.026600000000000002</v>
      </c>
      <c r="AJ29" s="100">
        <v>0.830837</v>
      </c>
      <c r="AK29" s="100">
        <v>0.526316</v>
      </c>
      <c r="AL29" s="100">
        <v>0.770056</v>
      </c>
      <c r="AM29" s="100">
        <v>0.657424</v>
      </c>
      <c r="AN29" s="100">
        <v>0.630798</v>
      </c>
      <c r="AO29" s="98">
        <v>3090.418353576248</v>
      </c>
      <c r="AP29" s="157">
        <v>1.3349000000000002</v>
      </c>
      <c r="AQ29" s="100">
        <v>0.08733624454148471</v>
      </c>
      <c r="AR29" s="100">
        <v>0.45454545454545453</v>
      </c>
      <c r="AS29" s="98">
        <v>512.8205128205128</v>
      </c>
      <c r="AT29" s="98">
        <v>512.8205128205128</v>
      </c>
      <c r="AU29" s="98" t="s">
        <v>972</v>
      </c>
      <c r="AV29" s="98">
        <v>472.33468286099867</v>
      </c>
      <c r="AW29" s="98">
        <v>985.1551956815115</v>
      </c>
      <c r="AX29" s="98">
        <v>445.34412955465586</v>
      </c>
      <c r="AY29" s="98">
        <v>1565.4520917678813</v>
      </c>
      <c r="AZ29" s="98">
        <v>877.1929824561404</v>
      </c>
      <c r="BA29" s="100">
        <v>0.14583333333333334</v>
      </c>
      <c r="BB29" s="100">
        <v>0.4791666666666667</v>
      </c>
      <c r="BC29" s="100">
        <v>0.375</v>
      </c>
      <c r="BD29" s="157">
        <v>1.1676</v>
      </c>
      <c r="BE29" s="157">
        <v>1.5194999999999999</v>
      </c>
      <c r="BF29" s="161">
        <v>1135</v>
      </c>
      <c r="BG29" s="161">
        <v>19</v>
      </c>
      <c r="BH29" s="161">
        <v>1770</v>
      </c>
      <c r="BI29" s="161">
        <v>1118</v>
      </c>
      <c r="BJ29" s="161">
        <v>539</v>
      </c>
      <c r="BK29" s="97"/>
      <c r="BL29" s="97"/>
      <c r="BM29" s="97"/>
      <c r="BN29" s="97"/>
    </row>
    <row r="30" spans="1:66" ht="12.75">
      <c r="A30" s="79" t="s">
        <v>356</v>
      </c>
      <c r="B30" s="79" t="s">
        <v>156</v>
      </c>
      <c r="C30" s="79" t="s">
        <v>392</v>
      </c>
      <c r="D30" s="99">
        <v>3522</v>
      </c>
      <c r="E30" s="99">
        <v>1211</v>
      </c>
      <c r="F30" s="99" t="s">
        <v>201</v>
      </c>
      <c r="G30" s="99">
        <v>28</v>
      </c>
      <c r="H30" s="99">
        <v>16</v>
      </c>
      <c r="I30" s="99">
        <v>155</v>
      </c>
      <c r="J30" s="99">
        <v>544</v>
      </c>
      <c r="K30" s="99">
        <v>532</v>
      </c>
      <c r="L30" s="99">
        <v>593</v>
      </c>
      <c r="M30" s="99">
        <v>490</v>
      </c>
      <c r="N30" s="99">
        <v>254</v>
      </c>
      <c r="O30" s="99">
        <v>144</v>
      </c>
      <c r="P30" s="158">
        <v>144</v>
      </c>
      <c r="Q30" s="99">
        <v>18</v>
      </c>
      <c r="R30" s="99">
        <v>42</v>
      </c>
      <c r="S30" s="99">
        <v>25</v>
      </c>
      <c r="T30" s="99">
        <v>25</v>
      </c>
      <c r="U30" s="99">
        <v>8</v>
      </c>
      <c r="V30" s="99">
        <v>33</v>
      </c>
      <c r="W30" s="99">
        <v>41</v>
      </c>
      <c r="X30" s="99">
        <v>10</v>
      </c>
      <c r="Y30" s="99">
        <v>34</v>
      </c>
      <c r="Z30" s="99">
        <v>44</v>
      </c>
      <c r="AA30" s="99">
        <v>8</v>
      </c>
      <c r="AB30" s="99">
        <v>21</v>
      </c>
      <c r="AC30" s="99">
        <v>10</v>
      </c>
      <c r="AD30" s="98" t="s">
        <v>181</v>
      </c>
      <c r="AE30" s="100">
        <v>0.3438387279954571</v>
      </c>
      <c r="AF30" s="100">
        <v>0.09</v>
      </c>
      <c r="AG30" s="98">
        <v>795.0028392958546</v>
      </c>
      <c r="AH30" s="98">
        <v>454.28733674048834</v>
      </c>
      <c r="AI30" s="100">
        <v>0.044000000000000004</v>
      </c>
      <c r="AJ30" s="100">
        <v>0.807122</v>
      </c>
      <c r="AK30" s="100">
        <v>0.798799</v>
      </c>
      <c r="AL30" s="100">
        <v>0.810109</v>
      </c>
      <c r="AM30" s="100">
        <v>0.665761</v>
      </c>
      <c r="AN30" s="100">
        <v>0.671958</v>
      </c>
      <c r="AO30" s="98">
        <v>4088.5860306643954</v>
      </c>
      <c r="AP30" s="157">
        <v>1.381</v>
      </c>
      <c r="AQ30" s="100">
        <v>0.125</v>
      </c>
      <c r="AR30" s="100">
        <v>0.42857142857142855</v>
      </c>
      <c r="AS30" s="98">
        <v>709.8239636570131</v>
      </c>
      <c r="AT30" s="98">
        <v>709.8239636570131</v>
      </c>
      <c r="AU30" s="98">
        <v>227.14366837024417</v>
      </c>
      <c r="AV30" s="98">
        <v>936.9676320272572</v>
      </c>
      <c r="AW30" s="98">
        <v>1164.1113003975015</v>
      </c>
      <c r="AX30" s="98">
        <v>283.9295854628052</v>
      </c>
      <c r="AY30" s="98">
        <v>965.3605905735377</v>
      </c>
      <c r="AZ30" s="98">
        <v>1249.290176036343</v>
      </c>
      <c r="BA30" s="100">
        <v>0.20512820512820512</v>
      </c>
      <c r="BB30" s="100">
        <v>0.5384615384615384</v>
      </c>
      <c r="BC30" s="100">
        <v>0.2564102564102564</v>
      </c>
      <c r="BD30" s="157">
        <v>1.1645999999999999</v>
      </c>
      <c r="BE30" s="157">
        <v>1.6259000000000001</v>
      </c>
      <c r="BF30" s="161">
        <v>674</v>
      </c>
      <c r="BG30" s="161">
        <v>666</v>
      </c>
      <c r="BH30" s="161">
        <v>732</v>
      </c>
      <c r="BI30" s="161">
        <v>736</v>
      </c>
      <c r="BJ30" s="161">
        <v>378</v>
      </c>
      <c r="BK30" s="97"/>
      <c r="BL30" s="97"/>
      <c r="BM30" s="97"/>
      <c r="BN30" s="97"/>
    </row>
    <row r="31" spans="1:66" ht="12.75">
      <c r="A31" s="79" t="s">
        <v>309</v>
      </c>
      <c r="B31" s="79" t="s">
        <v>99</v>
      </c>
      <c r="C31" s="79" t="s">
        <v>392</v>
      </c>
      <c r="D31" s="99">
        <v>12190</v>
      </c>
      <c r="E31" s="99">
        <v>2970</v>
      </c>
      <c r="F31" s="99" t="s">
        <v>203</v>
      </c>
      <c r="G31" s="99">
        <v>72</v>
      </c>
      <c r="H31" s="99">
        <v>30</v>
      </c>
      <c r="I31" s="99">
        <v>301</v>
      </c>
      <c r="J31" s="99">
        <v>1314</v>
      </c>
      <c r="K31" s="99">
        <v>15</v>
      </c>
      <c r="L31" s="99">
        <v>2330</v>
      </c>
      <c r="M31" s="99">
        <v>1157</v>
      </c>
      <c r="N31" s="99">
        <v>581</v>
      </c>
      <c r="O31" s="99">
        <v>287</v>
      </c>
      <c r="P31" s="158">
        <v>287</v>
      </c>
      <c r="Q31" s="99">
        <v>50</v>
      </c>
      <c r="R31" s="99">
        <v>101</v>
      </c>
      <c r="S31" s="99">
        <v>51</v>
      </c>
      <c r="T31" s="99">
        <v>48</v>
      </c>
      <c r="U31" s="99">
        <v>14</v>
      </c>
      <c r="V31" s="99">
        <v>82</v>
      </c>
      <c r="W31" s="99">
        <v>105</v>
      </c>
      <c r="X31" s="99">
        <v>12</v>
      </c>
      <c r="Y31" s="99">
        <v>86</v>
      </c>
      <c r="Z31" s="99">
        <v>63</v>
      </c>
      <c r="AA31" s="99">
        <v>14</v>
      </c>
      <c r="AB31" s="99">
        <v>34</v>
      </c>
      <c r="AC31" s="99">
        <v>16</v>
      </c>
      <c r="AD31" s="98" t="s">
        <v>181</v>
      </c>
      <c r="AE31" s="100">
        <v>0.24364232977850697</v>
      </c>
      <c r="AF31" s="100">
        <v>0.07</v>
      </c>
      <c r="AG31" s="98">
        <v>590.6480721903199</v>
      </c>
      <c r="AH31" s="98">
        <v>246.1033634126333</v>
      </c>
      <c r="AI31" s="100">
        <v>0.024700000000000003</v>
      </c>
      <c r="AJ31" s="100">
        <v>0.781213</v>
      </c>
      <c r="AK31" s="100">
        <v>0.9375</v>
      </c>
      <c r="AL31" s="100">
        <v>0.785305</v>
      </c>
      <c r="AM31" s="100">
        <v>0.710688</v>
      </c>
      <c r="AN31" s="100">
        <v>0.71201</v>
      </c>
      <c r="AO31" s="98">
        <v>2354.388843314192</v>
      </c>
      <c r="AP31" s="157">
        <v>0.9799</v>
      </c>
      <c r="AQ31" s="100">
        <v>0.17421602787456447</v>
      </c>
      <c r="AR31" s="100">
        <v>0.49504950495049505</v>
      </c>
      <c r="AS31" s="98">
        <v>418.37571780147664</v>
      </c>
      <c r="AT31" s="98">
        <v>393.7653814602133</v>
      </c>
      <c r="AU31" s="98">
        <v>114.84823625922887</v>
      </c>
      <c r="AV31" s="98">
        <v>672.6825266611977</v>
      </c>
      <c r="AW31" s="98">
        <v>861.3617719442166</v>
      </c>
      <c r="AX31" s="98">
        <v>98.44134536505332</v>
      </c>
      <c r="AY31" s="98">
        <v>705.4963084495488</v>
      </c>
      <c r="AZ31" s="98">
        <v>516.8170631665299</v>
      </c>
      <c r="BA31" s="100">
        <v>0.21875</v>
      </c>
      <c r="BB31" s="100">
        <v>0.53125</v>
      </c>
      <c r="BC31" s="100">
        <v>0.25</v>
      </c>
      <c r="BD31" s="157">
        <v>0.8698</v>
      </c>
      <c r="BE31" s="157">
        <v>1.1001</v>
      </c>
      <c r="BF31" s="161">
        <v>1682</v>
      </c>
      <c r="BG31" s="161">
        <v>16</v>
      </c>
      <c r="BH31" s="161">
        <v>2967</v>
      </c>
      <c r="BI31" s="161">
        <v>1628</v>
      </c>
      <c r="BJ31" s="161">
        <v>816</v>
      </c>
      <c r="BK31" s="97"/>
      <c r="BL31" s="97"/>
      <c r="BM31" s="97"/>
      <c r="BN31" s="97"/>
    </row>
    <row r="32" spans="1:66" ht="12.75">
      <c r="A32" s="79" t="s">
        <v>324</v>
      </c>
      <c r="B32" s="79" t="s">
        <v>118</v>
      </c>
      <c r="C32" s="79" t="s">
        <v>392</v>
      </c>
      <c r="D32" s="99">
        <v>10328</v>
      </c>
      <c r="E32" s="99">
        <v>2205</v>
      </c>
      <c r="F32" s="99" t="s">
        <v>202</v>
      </c>
      <c r="G32" s="99">
        <v>56</v>
      </c>
      <c r="H32" s="99">
        <v>31</v>
      </c>
      <c r="I32" s="99">
        <v>149</v>
      </c>
      <c r="J32" s="99">
        <v>1148</v>
      </c>
      <c r="K32" s="99">
        <v>296</v>
      </c>
      <c r="L32" s="99">
        <v>1887</v>
      </c>
      <c r="M32" s="99">
        <v>825</v>
      </c>
      <c r="N32" s="99">
        <v>383</v>
      </c>
      <c r="O32" s="99">
        <v>224</v>
      </c>
      <c r="P32" s="158">
        <v>224</v>
      </c>
      <c r="Q32" s="99">
        <v>31</v>
      </c>
      <c r="R32" s="99">
        <v>55</v>
      </c>
      <c r="S32" s="99">
        <v>27</v>
      </c>
      <c r="T32" s="99">
        <v>41</v>
      </c>
      <c r="U32" s="99">
        <v>6</v>
      </c>
      <c r="V32" s="99">
        <v>51</v>
      </c>
      <c r="W32" s="99">
        <v>72</v>
      </c>
      <c r="X32" s="99">
        <v>39</v>
      </c>
      <c r="Y32" s="99">
        <v>115</v>
      </c>
      <c r="Z32" s="99">
        <v>75</v>
      </c>
      <c r="AA32" s="99">
        <v>9</v>
      </c>
      <c r="AB32" s="99">
        <v>35</v>
      </c>
      <c r="AC32" s="99">
        <v>24</v>
      </c>
      <c r="AD32" s="98" t="s">
        <v>181</v>
      </c>
      <c r="AE32" s="100">
        <v>0.21349728892331526</v>
      </c>
      <c r="AF32" s="100">
        <v>0.13</v>
      </c>
      <c r="AG32" s="98">
        <v>542.2153369481023</v>
      </c>
      <c r="AH32" s="98">
        <v>300.15491866769946</v>
      </c>
      <c r="AI32" s="100">
        <v>0.0144</v>
      </c>
      <c r="AJ32" s="100">
        <v>0.817082</v>
      </c>
      <c r="AK32" s="100">
        <v>0.819945</v>
      </c>
      <c r="AL32" s="100">
        <v>0.813713</v>
      </c>
      <c r="AM32" s="100">
        <v>0.619835</v>
      </c>
      <c r="AN32" s="100">
        <v>0.598438</v>
      </c>
      <c r="AO32" s="98">
        <v>2168.861347792409</v>
      </c>
      <c r="AP32" s="157">
        <v>0.9775</v>
      </c>
      <c r="AQ32" s="100">
        <v>0.13839285714285715</v>
      </c>
      <c r="AR32" s="100">
        <v>0.5636363636363636</v>
      </c>
      <c r="AS32" s="98">
        <v>261.42525174283503</v>
      </c>
      <c r="AT32" s="98">
        <v>396.9790859798606</v>
      </c>
      <c r="AU32" s="98">
        <v>58.09450038729667</v>
      </c>
      <c r="AV32" s="98">
        <v>493.8032532920217</v>
      </c>
      <c r="AW32" s="98">
        <v>697.13400464756</v>
      </c>
      <c r="AX32" s="98">
        <v>377.6142525174283</v>
      </c>
      <c r="AY32" s="98">
        <v>1113.4779240898529</v>
      </c>
      <c r="AZ32" s="98">
        <v>726.1812548412083</v>
      </c>
      <c r="BA32" s="100">
        <v>0.1323529411764706</v>
      </c>
      <c r="BB32" s="100">
        <v>0.5147058823529411</v>
      </c>
      <c r="BC32" s="100">
        <v>0.35294117647058826</v>
      </c>
      <c r="BD32" s="157">
        <v>0.8537</v>
      </c>
      <c r="BE32" s="157">
        <v>1.1143</v>
      </c>
      <c r="BF32" s="161">
        <v>1405</v>
      </c>
      <c r="BG32" s="161">
        <v>361</v>
      </c>
      <c r="BH32" s="161">
        <v>2319</v>
      </c>
      <c r="BI32" s="161">
        <v>1331</v>
      </c>
      <c r="BJ32" s="161">
        <v>640</v>
      </c>
      <c r="BK32" s="97"/>
      <c r="BL32" s="97"/>
      <c r="BM32" s="97"/>
      <c r="BN32" s="97"/>
    </row>
    <row r="33" spans="1:66" ht="12.75">
      <c r="A33" s="79" t="s">
        <v>304</v>
      </c>
      <c r="B33" s="79" t="s">
        <v>94</v>
      </c>
      <c r="C33" s="79" t="s">
        <v>392</v>
      </c>
      <c r="D33" s="99">
        <v>11627</v>
      </c>
      <c r="E33" s="99">
        <v>2835</v>
      </c>
      <c r="F33" s="99" t="s">
        <v>201</v>
      </c>
      <c r="G33" s="99">
        <v>91</v>
      </c>
      <c r="H33" s="99">
        <v>34</v>
      </c>
      <c r="I33" s="99">
        <v>261</v>
      </c>
      <c r="J33" s="99">
        <v>1247</v>
      </c>
      <c r="K33" s="99">
        <v>17</v>
      </c>
      <c r="L33" s="99">
        <v>2081</v>
      </c>
      <c r="M33" s="99">
        <v>1065</v>
      </c>
      <c r="N33" s="99">
        <v>523</v>
      </c>
      <c r="O33" s="99">
        <v>322</v>
      </c>
      <c r="P33" s="158">
        <v>322</v>
      </c>
      <c r="Q33" s="99">
        <v>48</v>
      </c>
      <c r="R33" s="99">
        <v>69</v>
      </c>
      <c r="S33" s="99">
        <v>52</v>
      </c>
      <c r="T33" s="99">
        <v>60</v>
      </c>
      <c r="U33" s="99">
        <v>7</v>
      </c>
      <c r="V33" s="99">
        <v>60</v>
      </c>
      <c r="W33" s="99">
        <v>102</v>
      </c>
      <c r="X33" s="99">
        <v>29</v>
      </c>
      <c r="Y33" s="99">
        <v>140</v>
      </c>
      <c r="Z33" s="99">
        <v>113</v>
      </c>
      <c r="AA33" s="99">
        <v>16</v>
      </c>
      <c r="AB33" s="99">
        <v>28</v>
      </c>
      <c r="AC33" s="99">
        <v>17</v>
      </c>
      <c r="AD33" s="98" t="s">
        <v>181</v>
      </c>
      <c r="AE33" s="100">
        <v>0.24382901866345574</v>
      </c>
      <c r="AF33" s="100">
        <v>0.11</v>
      </c>
      <c r="AG33" s="98">
        <v>782.6610475617098</v>
      </c>
      <c r="AH33" s="98">
        <v>292.42280897910035</v>
      </c>
      <c r="AI33" s="100">
        <v>0.022400000000000003</v>
      </c>
      <c r="AJ33" s="100">
        <v>0.765031</v>
      </c>
      <c r="AK33" s="100">
        <v>0.566667</v>
      </c>
      <c r="AL33" s="100">
        <v>0.774182</v>
      </c>
      <c r="AM33" s="100">
        <v>0.658627</v>
      </c>
      <c r="AN33" s="100">
        <v>0.65869</v>
      </c>
      <c r="AO33" s="98">
        <v>2769.416014449127</v>
      </c>
      <c r="AP33" s="157">
        <v>1.161</v>
      </c>
      <c r="AQ33" s="100">
        <v>0.14906832298136646</v>
      </c>
      <c r="AR33" s="100">
        <v>0.6956521739130435</v>
      </c>
      <c r="AS33" s="98">
        <v>447.234884320977</v>
      </c>
      <c r="AT33" s="98">
        <v>516.0402511395889</v>
      </c>
      <c r="AU33" s="98">
        <v>60.20469596628537</v>
      </c>
      <c r="AV33" s="98">
        <v>516.0402511395889</v>
      </c>
      <c r="AW33" s="98">
        <v>877.2684269373011</v>
      </c>
      <c r="AX33" s="98">
        <v>249.41945471746797</v>
      </c>
      <c r="AY33" s="98">
        <v>1204.0939193257075</v>
      </c>
      <c r="AZ33" s="98">
        <v>971.8758063128925</v>
      </c>
      <c r="BA33" s="100">
        <v>0.26229508196721313</v>
      </c>
      <c r="BB33" s="100">
        <v>0.45901639344262296</v>
      </c>
      <c r="BC33" s="100">
        <v>0.2786885245901639</v>
      </c>
      <c r="BD33" s="157">
        <v>1.0377</v>
      </c>
      <c r="BE33" s="157">
        <v>1.295</v>
      </c>
      <c r="BF33" s="161">
        <v>1630</v>
      </c>
      <c r="BG33" s="161">
        <v>30</v>
      </c>
      <c r="BH33" s="161">
        <v>2688</v>
      </c>
      <c r="BI33" s="161">
        <v>1617</v>
      </c>
      <c r="BJ33" s="161">
        <v>794</v>
      </c>
      <c r="BK33" s="97"/>
      <c r="BL33" s="97"/>
      <c r="BM33" s="97"/>
      <c r="BN33" s="97"/>
    </row>
    <row r="34" spans="1:66" ht="12.75">
      <c r="A34" s="79" t="s">
        <v>329</v>
      </c>
      <c r="B34" s="79" t="s">
        <v>123</v>
      </c>
      <c r="C34" s="79" t="s">
        <v>392</v>
      </c>
      <c r="D34" s="99">
        <v>14741</v>
      </c>
      <c r="E34" s="99">
        <v>2913</v>
      </c>
      <c r="F34" s="99" t="s">
        <v>201</v>
      </c>
      <c r="G34" s="99">
        <v>71</v>
      </c>
      <c r="H34" s="99">
        <v>34</v>
      </c>
      <c r="I34" s="99">
        <v>298</v>
      </c>
      <c r="J34" s="99">
        <v>1705</v>
      </c>
      <c r="K34" s="99">
        <v>1623</v>
      </c>
      <c r="L34" s="99">
        <v>2789</v>
      </c>
      <c r="M34" s="99">
        <v>1236</v>
      </c>
      <c r="N34" s="99">
        <v>604</v>
      </c>
      <c r="O34" s="99">
        <v>405</v>
      </c>
      <c r="P34" s="158">
        <v>405</v>
      </c>
      <c r="Q34" s="99">
        <v>28</v>
      </c>
      <c r="R34" s="99">
        <v>67</v>
      </c>
      <c r="S34" s="99">
        <v>65</v>
      </c>
      <c r="T34" s="99">
        <v>106</v>
      </c>
      <c r="U34" s="99">
        <v>8</v>
      </c>
      <c r="V34" s="99">
        <v>62</v>
      </c>
      <c r="W34" s="99">
        <v>130</v>
      </c>
      <c r="X34" s="99">
        <v>61</v>
      </c>
      <c r="Y34" s="99">
        <v>126</v>
      </c>
      <c r="Z34" s="99">
        <v>103</v>
      </c>
      <c r="AA34" s="99">
        <v>14</v>
      </c>
      <c r="AB34" s="99">
        <v>49</v>
      </c>
      <c r="AC34" s="99">
        <v>26</v>
      </c>
      <c r="AD34" s="98" t="s">
        <v>181</v>
      </c>
      <c r="AE34" s="100">
        <v>0.1976121022997083</v>
      </c>
      <c r="AF34" s="100">
        <v>0.09</v>
      </c>
      <c r="AG34" s="98">
        <v>481.64982022929246</v>
      </c>
      <c r="AH34" s="98">
        <v>230.64920968726682</v>
      </c>
      <c r="AI34" s="100">
        <v>0.0202</v>
      </c>
      <c r="AJ34" s="100">
        <v>0.82767</v>
      </c>
      <c r="AK34" s="100">
        <v>0.812719</v>
      </c>
      <c r="AL34" s="100">
        <v>0.79504</v>
      </c>
      <c r="AM34" s="100">
        <v>0.630291</v>
      </c>
      <c r="AN34" s="100">
        <v>0.620761</v>
      </c>
      <c r="AO34" s="98">
        <v>2747.439115392443</v>
      </c>
      <c r="AP34" s="157">
        <v>1.2448000000000001</v>
      </c>
      <c r="AQ34" s="100">
        <v>0.0691358024691358</v>
      </c>
      <c r="AR34" s="100">
        <v>0.417910447761194</v>
      </c>
      <c r="AS34" s="98">
        <v>440.94701851977476</v>
      </c>
      <c r="AT34" s="98">
        <v>719.0828302014788</v>
      </c>
      <c r="AU34" s="98">
        <v>54.270402279356894</v>
      </c>
      <c r="AV34" s="98">
        <v>420.59561766501594</v>
      </c>
      <c r="AW34" s="98">
        <v>881.8940370395495</v>
      </c>
      <c r="AX34" s="98">
        <v>413.81181738009633</v>
      </c>
      <c r="AY34" s="98">
        <v>854.7588358998711</v>
      </c>
      <c r="AZ34" s="98">
        <v>698.73142934672</v>
      </c>
      <c r="BA34" s="100">
        <v>0.15730337078651685</v>
      </c>
      <c r="BB34" s="100">
        <v>0.550561797752809</v>
      </c>
      <c r="BC34" s="100">
        <v>0.29213483146067415</v>
      </c>
      <c r="BD34" s="157">
        <v>1.1265</v>
      </c>
      <c r="BE34" s="157">
        <v>1.3721</v>
      </c>
      <c r="BF34" s="161">
        <v>2060</v>
      </c>
      <c r="BG34" s="161">
        <v>1997</v>
      </c>
      <c r="BH34" s="161">
        <v>3508</v>
      </c>
      <c r="BI34" s="161">
        <v>1961</v>
      </c>
      <c r="BJ34" s="161">
        <v>973</v>
      </c>
      <c r="BK34" s="97"/>
      <c r="BL34" s="97"/>
      <c r="BM34" s="97"/>
      <c r="BN34" s="97"/>
    </row>
    <row r="35" spans="1:66" ht="12.75">
      <c r="A35" s="79" t="s">
        <v>347</v>
      </c>
      <c r="B35" s="79" t="s">
        <v>146</v>
      </c>
      <c r="C35" s="79" t="s">
        <v>392</v>
      </c>
      <c r="D35" s="99">
        <v>5276</v>
      </c>
      <c r="E35" s="99">
        <v>1030</v>
      </c>
      <c r="F35" s="99" t="s">
        <v>202</v>
      </c>
      <c r="G35" s="99">
        <v>32</v>
      </c>
      <c r="H35" s="99">
        <v>14</v>
      </c>
      <c r="I35" s="99">
        <v>138</v>
      </c>
      <c r="J35" s="99">
        <v>553</v>
      </c>
      <c r="K35" s="99">
        <v>11</v>
      </c>
      <c r="L35" s="99">
        <v>1024</v>
      </c>
      <c r="M35" s="99">
        <v>440</v>
      </c>
      <c r="N35" s="99">
        <v>228</v>
      </c>
      <c r="O35" s="99">
        <v>178</v>
      </c>
      <c r="P35" s="158">
        <v>178</v>
      </c>
      <c r="Q35" s="99">
        <v>17</v>
      </c>
      <c r="R35" s="99">
        <v>33</v>
      </c>
      <c r="S35" s="99">
        <v>25</v>
      </c>
      <c r="T35" s="99">
        <v>37</v>
      </c>
      <c r="U35" s="99" t="s">
        <v>972</v>
      </c>
      <c r="V35" s="99">
        <v>40</v>
      </c>
      <c r="W35" s="99">
        <v>55</v>
      </c>
      <c r="X35" s="99">
        <v>6</v>
      </c>
      <c r="Y35" s="99">
        <v>50</v>
      </c>
      <c r="Z35" s="99">
        <v>31</v>
      </c>
      <c r="AA35" s="99" t="s">
        <v>972</v>
      </c>
      <c r="AB35" s="99">
        <v>14</v>
      </c>
      <c r="AC35" s="99" t="s">
        <v>972</v>
      </c>
      <c r="AD35" s="98" t="s">
        <v>181</v>
      </c>
      <c r="AE35" s="100">
        <v>0.19522365428354815</v>
      </c>
      <c r="AF35" s="100">
        <v>0.13</v>
      </c>
      <c r="AG35" s="98">
        <v>606.5200909780136</v>
      </c>
      <c r="AH35" s="98">
        <v>265.352539802881</v>
      </c>
      <c r="AI35" s="100">
        <v>0.0262</v>
      </c>
      <c r="AJ35" s="100">
        <v>0.777778</v>
      </c>
      <c r="AK35" s="100">
        <v>0.785714</v>
      </c>
      <c r="AL35" s="100">
        <v>0.827809</v>
      </c>
      <c r="AM35" s="100">
        <v>0.679012</v>
      </c>
      <c r="AN35" s="100">
        <v>0.680597</v>
      </c>
      <c r="AO35" s="98">
        <v>3373.768006065201</v>
      </c>
      <c r="AP35" s="157">
        <v>1.5669</v>
      </c>
      <c r="AQ35" s="100">
        <v>0.09550561797752809</v>
      </c>
      <c r="AR35" s="100">
        <v>0.5151515151515151</v>
      </c>
      <c r="AS35" s="98">
        <v>473.84382107657314</v>
      </c>
      <c r="AT35" s="98">
        <v>701.2888551933282</v>
      </c>
      <c r="AU35" s="98" t="s">
        <v>972</v>
      </c>
      <c r="AV35" s="98">
        <v>758.1501137225171</v>
      </c>
      <c r="AW35" s="98">
        <v>1042.4564063684609</v>
      </c>
      <c r="AX35" s="98">
        <v>113.72251705837756</v>
      </c>
      <c r="AY35" s="98">
        <v>947.6876421531463</v>
      </c>
      <c r="AZ35" s="98">
        <v>587.5663381349507</v>
      </c>
      <c r="BA35" s="100" t="s">
        <v>972</v>
      </c>
      <c r="BB35" s="100">
        <v>0.5</v>
      </c>
      <c r="BC35" s="100" t="s">
        <v>972</v>
      </c>
      <c r="BD35" s="157">
        <v>1.3452000000000002</v>
      </c>
      <c r="BE35" s="157">
        <v>1.8148</v>
      </c>
      <c r="BF35" s="161">
        <v>711</v>
      </c>
      <c r="BG35" s="161">
        <v>14</v>
      </c>
      <c r="BH35" s="161">
        <v>1237</v>
      </c>
      <c r="BI35" s="161">
        <v>648</v>
      </c>
      <c r="BJ35" s="161">
        <v>335</v>
      </c>
      <c r="BK35" s="97"/>
      <c r="BL35" s="97"/>
      <c r="BM35" s="97"/>
      <c r="BN35" s="97"/>
    </row>
    <row r="36" spans="1:66" ht="12.75">
      <c r="A36" s="79" t="s">
        <v>337</v>
      </c>
      <c r="B36" s="79" t="s">
        <v>134</v>
      </c>
      <c r="C36" s="79" t="s">
        <v>392</v>
      </c>
      <c r="D36" s="99">
        <v>3922</v>
      </c>
      <c r="E36" s="99">
        <v>669</v>
      </c>
      <c r="F36" s="99" t="s">
        <v>199</v>
      </c>
      <c r="G36" s="99">
        <v>19</v>
      </c>
      <c r="H36" s="99" t="s">
        <v>972</v>
      </c>
      <c r="I36" s="99">
        <v>84</v>
      </c>
      <c r="J36" s="99">
        <v>415</v>
      </c>
      <c r="K36" s="99">
        <v>403</v>
      </c>
      <c r="L36" s="99">
        <v>726</v>
      </c>
      <c r="M36" s="99">
        <v>288</v>
      </c>
      <c r="N36" s="99">
        <v>139</v>
      </c>
      <c r="O36" s="99">
        <v>81</v>
      </c>
      <c r="P36" s="158">
        <v>81</v>
      </c>
      <c r="Q36" s="99">
        <v>6</v>
      </c>
      <c r="R36" s="99">
        <v>27</v>
      </c>
      <c r="S36" s="99">
        <v>16</v>
      </c>
      <c r="T36" s="99">
        <v>12</v>
      </c>
      <c r="U36" s="99" t="s">
        <v>972</v>
      </c>
      <c r="V36" s="99">
        <v>16</v>
      </c>
      <c r="W36" s="99">
        <v>22</v>
      </c>
      <c r="X36" s="99">
        <v>6</v>
      </c>
      <c r="Y36" s="99">
        <v>20</v>
      </c>
      <c r="Z36" s="99">
        <v>10</v>
      </c>
      <c r="AA36" s="99" t="s">
        <v>972</v>
      </c>
      <c r="AB36" s="99" t="s">
        <v>972</v>
      </c>
      <c r="AC36" s="99" t="s">
        <v>972</v>
      </c>
      <c r="AD36" s="98" t="s">
        <v>181</v>
      </c>
      <c r="AE36" s="100">
        <v>0.17057623661397248</v>
      </c>
      <c r="AF36" s="100">
        <v>0.16</v>
      </c>
      <c r="AG36" s="98">
        <v>484.44671086180523</v>
      </c>
      <c r="AH36" s="98" t="s">
        <v>972</v>
      </c>
      <c r="AI36" s="100">
        <v>0.021400000000000002</v>
      </c>
      <c r="AJ36" s="100">
        <v>0.761468</v>
      </c>
      <c r="AK36" s="100">
        <v>0.754682</v>
      </c>
      <c r="AL36" s="100">
        <v>0.788274</v>
      </c>
      <c r="AM36" s="100">
        <v>0.576</v>
      </c>
      <c r="AN36" s="100">
        <v>0.556</v>
      </c>
      <c r="AO36" s="98">
        <v>2065.272819989801</v>
      </c>
      <c r="AP36" s="157">
        <v>1.0145</v>
      </c>
      <c r="AQ36" s="100">
        <v>0.07407407407407407</v>
      </c>
      <c r="AR36" s="100">
        <v>0.2222222222222222</v>
      </c>
      <c r="AS36" s="98">
        <v>407.955124936257</v>
      </c>
      <c r="AT36" s="98">
        <v>305.9663437021928</v>
      </c>
      <c r="AU36" s="98" t="s">
        <v>972</v>
      </c>
      <c r="AV36" s="98">
        <v>407.955124936257</v>
      </c>
      <c r="AW36" s="98">
        <v>560.9382967873534</v>
      </c>
      <c r="AX36" s="98">
        <v>152.9831718510964</v>
      </c>
      <c r="AY36" s="98">
        <v>509.94390617032127</v>
      </c>
      <c r="AZ36" s="98">
        <v>254.97195308516064</v>
      </c>
      <c r="BA36" s="100" t="s">
        <v>972</v>
      </c>
      <c r="BB36" s="100" t="s">
        <v>972</v>
      </c>
      <c r="BC36" s="100" t="s">
        <v>972</v>
      </c>
      <c r="BD36" s="157">
        <v>0.8056</v>
      </c>
      <c r="BE36" s="157">
        <v>1.2609000000000001</v>
      </c>
      <c r="BF36" s="161">
        <v>545</v>
      </c>
      <c r="BG36" s="161">
        <v>534</v>
      </c>
      <c r="BH36" s="161">
        <v>921</v>
      </c>
      <c r="BI36" s="161">
        <v>500</v>
      </c>
      <c r="BJ36" s="161">
        <v>250</v>
      </c>
      <c r="BK36" s="97"/>
      <c r="BL36" s="97"/>
      <c r="BM36" s="97"/>
      <c r="BN36" s="97"/>
    </row>
    <row r="37" spans="1:66" ht="12.75">
      <c r="A37" s="79" t="s">
        <v>286</v>
      </c>
      <c r="B37" s="79" t="s">
        <v>71</v>
      </c>
      <c r="C37" s="79" t="s">
        <v>392</v>
      </c>
      <c r="D37" s="99">
        <v>9714</v>
      </c>
      <c r="E37" s="99">
        <v>2514</v>
      </c>
      <c r="F37" s="99" t="s">
        <v>203</v>
      </c>
      <c r="G37" s="99">
        <v>83</v>
      </c>
      <c r="H37" s="99">
        <v>27</v>
      </c>
      <c r="I37" s="99">
        <v>276</v>
      </c>
      <c r="J37" s="99">
        <v>1157</v>
      </c>
      <c r="K37" s="99">
        <v>15</v>
      </c>
      <c r="L37" s="99">
        <v>1850</v>
      </c>
      <c r="M37" s="99">
        <v>1062</v>
      </c>
      <c r="N37" s="99">
        <v>523</v>
      </c>
      <c r="O37" s="99">
        <v>314</v>
      </c>
      <c r="P37" s="158">
        <v>314</v>
      </c>
      <c r="Q37" s="99">
        <v>43</v>
      </c>
      <c r="R37" s="99">
        <v>85</v>
      </c>
      <c r="S37" s="99">
        <v>53</v>
      </c>
      <c r="T37" s="99">
        <v>50</v>
      </c>
      <c r="U37" s="99">
        <v>9</v>
      </c>
      <c r="V37" s="99">
        <v>85</v>
      </c>
      <c r="W37" s="99">
        <v>110</v>
      </c>
      <c r="X37" s="99">
        <v>16</v>
      </c>
      <c r="Y37" s="99">
        <v>90</v>
      </c>
      <c r="Z37" s="99">
        <v>56</v>
      </c>
      <c r="AA37" s="99">
        <v>18</v>
      </c>
      <c r="AB37" s="99">
        <v>41</v>
      </c>
      <c r="AC37" s="99">
        <v>13</v>
      </c>
      <c r="AD37" s="98" t="s">
        <v>181</v>
      </c>
      <c r="AE37" s="100">
        <v>0.25880172946263125</v>
      </c>
      <c r="AF37" s="100">
        <v>0.08</v>
      </c>
      <c r="AG37" s="98">
        <v>854.4368952028001</v>
      </c>
      <c r="AH37" s="98">
        <v>277.9493514515133</v>
      </c>
      <c r="AI37" s="100">
        <v>0.028399999999999998</v>
      </c>
      <c r="AJ37" s="100">
        <v>0.771333</v>
      </c>
      <c r="AK37" s="100">
        <v>0.555556</v>
      </c>
      <c r="AL37" s="100">
        <v>0.826262</v>
      </c>
      <c r="AM37" s="100">
        <v>0.708472</v>
      </c>
      <c r="AN37" s="100">
        <v>0.692715</v>
      </c>
      <c r="AO37" s="98">
        <v>3232.4480131768582</v>
      </c>
      <c r="AP37" s="157">
        <v>1.2923</v>
      </c>
      <c r="AQ37" s="100">
        <v>0.13694267515923567</v>
      </c>
      <c r="AR37" s="100">
        <v>0.5058823529411764</v>
      </c>
      <c r="AS37" s="98">
        <v>545.6042824788965</v>
      </c>
      <c r="AT37" s="98">
        <v>514.7210212065061</v>
      </c>
      <c r="AU37" s="98">
        <v>92.6497838171711</v>
      </c>
      <c r="AV37" s="98">
        <v>875.0257360510603</v>
      </c>
      <c r="AW37" s="98">
        <v>1132.3862466543133</v>
      </c>
      <c r="AX37" s="98">
        <v>164.71072678608195</v>
      </c>
      <c r="AY37" s="98">
        <v>926.4978381717109</v>
      </c>
      <c r="AZ37" s="98">
        <v>576.4875437512868</v>
      </c>
      <c r="BA37" s="101">
        <v>0.25</v>
      </c>
      <c r="BB37" s="101">
        <v>0.5694444444444444</v>
      </c>
      <c r="BC37" s="101">
        <v>0.18055555555555555</v>
      </c>
      <c r="BD37" s="157">
        <v>1.1533</v>
      </c>
      <c r="BE37" s="157">
        <v>1.4434</v>
      </c>
      <c r="BF37" s="161">
        <v>1500</v>
      </c>
      <c r="BG37" s="161">
        <v>27</v>
      </c>
      <c r="BH37" s="161">
        <v>2239</v>
      </c>
      <c r="BI37" s="161">
        <v>1499</v>
      </c>
      <c r="BJ37" s="161">
        <v>755</v>
      </c>
      <c r="BK37" s="97"/>
      <c r="BL37" s="97"/>
      <c r="BM37" s="97"/>
      <c r="BN37" s="97"/>
    </row>
    <row r="38" spans="1:66" ht="12.75">
      <c r="A38" s="79" t="s">
        <v>411</v>
      </c>
      <c r="B38" s="79" t="s">
        <v>164</v>
      </c>
      <c r="C38" s="79" t="s">
        <v>392</v>
      </c>
      <c r="D38" s="99">
        <v>2334</v>
      </c>
      <c r="E38" s="99">
        <v>528</v>
      </c>
      <c r="F38" s="99" t="s">
        <v>201</v>
      </c>
      <c r="G38" s="99">
        <v>15</v>
      </c>
      <c r="H38" s="99">
        <v>6</v>
      </c>
      <c r="I38" s="99">
        <v>49</v>
      </c>
      <c r="J38" s="99">
        <v>296</v>
      </c>
      <c r="K38" s="99">
        <v>256</v>
      </c>
      <c r="L38" s="99">
        <v>424</v>
      </c>
      <c r="M38" s="99">
        <v>218</v>
      </c>
      <c r="N38" s="99">
        <v>107</v>
      </c>
      <c r="O38" s="99">
        <v>73</v>
      </c>
      <c r="P38" s="158">
        <v>73</v>
      </c>
      <c r="Q38" s="99">
        <v>7</v>
      </c>
      <c r="R38" s="99">
        <v>12</v>
      </c>
      <c r="S38" s="99">
        <v>11</v>
      </c>
      <c r="T38" s="99">
        <v>24</v>
      </c>
      <c r="U38" s="99" t="s">
        <v>972</v>
      </c>
      <c r="V38" s="99">
        <v>9</v>
      </c>
      <c r="W38" s="99">
        <v>19</v>
      </c>
      <c r="X38" s="99" t="s">
        <v>972</v>
      </c>
      <c r="Y38" s="99">
        <v>40</v>
      </c>
      <c r="Z38" s="99">
        <v>12</v>
      </c>
      <c r="AA38" s="99" t="s">
        <v>972</v>
      </c>
      <c r="AB38" s="99">
        <v>11</v>
      </c>
      <c r="AC38" s="99" t="s">
        <v>972</v>
      </c>
      <c r="AD38" s="98" t="s">
        <v>181</v>
      </c>
      <c r="AE38" s="100">
        <v>0.2262210796915167</v>
      </c>
      <c r="AF38" s="100">
        <v>0.1</v>
      </c>
      <c r="AG38" s="98">
        <v>642.6735218508998</v>
      </c>
      <c r="AH38" s="98">
        <v>257.0694087403599</v>
      </c>
      <c r="AI38" s="100">
        <v>0.021</v>
      </c>
      <c r="AJ38" s="100">
        <v>0.878338</v>
      </c>
      <c r="AK38" s="100">
        <v>0.785276</v>
      </c>
      <c r="AL38" s="100">
        <v>0.794007</v>
      </c>
      <c r="AM38" s="100">
        <v>0.608939</v>
      </c>
      <c r="AN38" s="100">
        <v>0.60452</v>
      </c>
      <c r="AO38" s="98">
        <v>3127.677806341045</v>
      </c>
      <c r="AP38" s="157">
        <v>1.3195</v>
      </c>
      <c r="AQ38" s="100">
        <v>0.0958904109589041</v>
      </c>
      <c r="AR38" s="100">
        <v>0.5833333333333334</v>
      </c>
      <c r="AS38" s="98">
        <v>471.2939160239931</v>
      </c>
      <c r="AT38" s="98">
        <v>1028.2776349614396</v>
      </c>
      <c r="AU38" s="98" t="s">
        <v>972</v>
      </c>
      <c r="AV38" s="98">
        <v>385.60411311053986</v>
      </c>
      <c r="AW38" s="98">
        <v>814.0531276778063</v>
      </c>
      <c r="AX38" s="98" t="s">
        <v>972</v>
      </c>
      <c r="AY38" s="98">
        <v>1713.796058269066</v>
      </c>
      <c r="AZ38" s="98">
        <v>514.1388174807198</v>
      </c>
      <c r="BA38" s="100" t="s">
        <v>972</v>
      </c>
      <c r="BB38" s="100">
        <v>0.7857142857142857</v>
      </c>
      <c r="BC38" s="100" t="s">
        <v>972</v>
      </c>
      <c r="BD38" s="157">
        <v>1.0342</v>
      </c>
      <c r="BE38" s="157">
        <v>1.659</v>
      </c>
      <c r="BF38" s="161">
        <v>337</v>
      </c>
      <c r="BG38" s="161">
        <v>326</v>
      </c>
      <c r="BH38" s="161">
        <v>534</v>
      </c>
      <c r="BI38" s="161">
        <v>358</v>
      </c>
      <c r="BJ38" s="161">
        <v>177</v>
      </c>
      <c r="BK38" s="97"/>
      <c r="BL38" s="97"/>
      <c r="BM38" s="97"/>
      <c r="BN38" s="97"/>
    </row>
    <row r="39" spans="1:66" ht="12.75">
      <c r="A39" s="79" t="s">
        <v>973</v>
      </c>
      <c r="B39" s="79" t="s">
        <v>180</v>
      </c>
      <c r="C39" s="79" t="s">
        <v>392</v>
      </c>
      <c r="D39" s="99">
        <v>4164</v>
      </c>
      <c r="E39" s="99">
        <v>1032</v>
      </c>
      <c r="F39" s="99" t="s">
        <v>201</v>
      </c>
      <c r="G39" s="99">
        <v>14</v>
      </c>
      <c r="H39" s="99">
        <v>10</v>
      </c>
      <c r="I39" s="99">
        <v>79</v>
      </c>
      <c r="J39" s="99">
        <v>449</v>
      </c>
      <c r="K39" s="99">
        <v>13</v>
      </c>
      <c r="L39" s="99">
        <v>775</v>
      </c>
      <c r="M39" s="99">
        <v>337</v>
      </c>
      <c r="N39" s="99">
        <v>198</v>
      </c>
      <c r="O39" s="99">
        <v>115</v>
      </c>
      <c r="P39" s="158">
        <v>115</v>
      </c>
      <c r="Q39" s="99">
        <v>9</v>
      </c>
      <c r="R39" s="99">
        <v>18</v>
      </c>
      <c r="S39" s="99">
        <v>32</v>
      </c>
      <c r="T39" s="99">
        <v>19</v>
      </c>
      <c r="U39" s="99" t="s">
        <v>972</v>
      </c>
      <c r="V39" s="99">
        <v>18</v>
      </c>
      <c r="W39" s="99">
        <v>37</v>
      </c>
      <c r="X39" s="99">
        <v>17</v>
      </c>
      <c r="Y39" s="99">
        <v>40</v>
      </c>
      <c r="Z39" s="99">
        <v>28</v>
      </c>
      <c r="AA39" s="99" t="s">
        <v>972</v>
      </c>
      <c r="AB39" s="99">
        <v>17</v>
      </c>
      <c r="AC39" s="99" t="s">
        <v>972</v>
      </c>
      <c r="AD39" s="98" t="s">
        <v>181</v>
      </c>
      <c r="AE39" s="100">
        <v>0.2478386167146974</v>
      </c>
      <c r="AF39" s="100">
        <v>0.09</v>
      </c>
      <c r="AG39" s="98">
        <v>336.2151777137368</v>
      </c>
      <c r="AH39" s="98">
        <v>240.15369836695484</v>
      </c>
      <c r="AI39" s="100">
        <v>0.019</v>
      </c>
      <c r="AJ39" s="100">
        <v>0.710443</v>
      </c>
      <c r="AK39" s="100">
        <v>0.8125</v>
      </c>
      <c r="AL39" s="100">
        <v>0.780463</v>
      </c>
      <c r="AM39" s="100">
        <v>0.574106</v>
      </c>
      <c r="AN39" s="100">
        <v>0.613003</v>
      </c>
      <c r="AO39" s="98">
        <v>2761.767531219981</v>
      </c>
      <c r="AP39" s="157">
        <v>1.1348</v>
      </c>
      <c r="AQ39" s="100">
        <v>0.0782608695652174</v>
      </c>
      <c r="AR39" s="100">
        <v>0.5</v>
      </c>
      <c r="AS39" s="98">
        <v>768.4918347742555</v>
      </c>
      <c r="AT39" s="98">
        <v>456.2920268972142</v>
      </c>
      <c r="AU39" s="98" t="s">
        <v>972</v>
      </c>
      <c r="AV39" s="98">
        <v>432.27665706051874</v>
      </c>
      <c r="AW39" s="98">
        <v>888.5686839577329</v>
      </c>
      <c r="AX39" s="98">
        <v>408.2612872238233</v>
      </c>
      <c r="AY39" s="98">
        <v>960.6147934678194</v>
      </c>
      <c r="AZ39" s="98">
        <v>672.4303554274736</v>
      </c>
      <c r="BA39" s="100" t="s">
        <v>972</v>
      </c>
      <c r="BB39" s="100">
        <v>0.6296296296296297</v>
      </c>
      <c r="BC39" s="100" t="s">
        <v>972</v>
      </c>
      <c r="BD39" s="157">
        <v>0.9369</v>
      </c>
      <c r="BE39" s="157">
        <v>1.3622</v>
      </c>
      <c r="BF39" s="161">
        <v>632</v>
      </c>
      <c r="BG39" s="161">
        <v>16</v>
      </c>
      <c r="BH39" s="161">
        <v>993</v>
      </c>
      <c r="BI39" s="161">
        <v>587</v>
      </c>
      <c r="BJ39" s="161">
        <v>323</v>
      </c>
      <c r="BK39" s="97"/>
      <c r="BL39" s="97"/>
      <c r="BM39" s="97"/>
      <c r="BN39" s="97"/>
    </row>
    <row r="40" spans="1:66" ht="12.75">
      <c r="A40" s="79" t="s">
        <v>297</v>
      </c>
      <c r="B40" s="79" t="s">
        <v>87</v>
      </c>
      <c r="C40" s="79" t="s">
        <v>392</v>
      </c>
      <c r="D40" s="99">
        <v>5546</v>
      </c>
      <c r="E40" s="99">
        <v>1379</v>
      </c>
      <c r="F40" s="99" t="s">
        <v>202</v>
      </c>
      <c r="G40" s="99">
        <v>34</v>
      </c>
      <c r="H40" s="99">
        <v>19</v>
      </c>
      <c r="I40" s="99">
        <v>125</v>
      </c>
      <c r="J40" s="99">
        <v>733</v>
      </c>
      <c r="K40" s="99">
        <v>683</v>
      </c>
      <c r="L40" s="99">
        <v>1050</v>
      </c>
      <c r="M40" s="99">
        <v>526</v>
      </c>
      <c r="N40" s="99">
        <v>252</v>
      </c>
      <c r="O40" s="99">
        <v>198</v>
      </c>
      <c r="P40" s="158">
        <v>198</v>
      </c>
      <c r="Q40" s="99">
        <v>15</v>
      </c>
      <c r="R40" s="99">
        <v>29</v>
      </c>
      <c r="S40" s="99">
        <v>43</v>
      </c>
      <c r="T40" s="99">
        <v>28</v>
      </c>
      <c r="U40" s="99" t="s">
        <v>972</v>
      </c>
      <c r="V40" s="99">
        <v>20</v>
      </c>
      <c r="W40" s="99">
        <v>39</v>
      </c>
      <c r="X40" s="99">
        <v>26</v>
      </c>
      <c r="Y40" s="99">
        <v>50</v>
      </c>
      <c r="Z40" s="99">
        <v>37</v>
      </c>
      <c r="AA40" s="99" t="s">
        <v>972</v>
      </c>
      <c r="AB40" s="99">
        <v>16</v>
      </c>
      <c r="AC40" s="99" t="s">
        <v>972</v>
      </c>
      <c r="AD40" s="98" t="s">
        <v>181</v>
      </c>
      <c r="AE40" s="100">
        <v>0.24864767399927876</v>
      </c>
      <c r="AF40" s="100">
        <v>0.12</v>
      </c>
      <c r="AG40" s="98">
        <v>613.0544536602957</v>
      </c>
      <c r="AH40" s="98">
        <v>342.5892535160476</v>
      </c>
      <c r="AI40" s="100">
        <v>0.0225</v>
      </c>
      <c r="AJ40" s="100">
        <v>0.845444</v>
      </c>
      <c r="AK40" s="100">
        <v>0.81601</v>
      </c>
      <c r="AL40" s="100">
        <v>0.837321</v>
      </c>
      <c r="AM40" s="100">
        <v>0.616647</v>
      </c>
      <c r="AN40" s="100">
        <v>0.588785</v>
      </c>
      <c r="AO40" s="98">
        <v>3570.140641904075</v>
      </c>
      <c r="AP40" s="157">
        <v>1.4537</v>
      </c>
      <c r="AQ40" s="100">
        <v>0.07575757575757576</v>
      </c>
      <c r="AR40" s="100">
        <v>0.5172413793103449</v>
      </c>
      <c r="AS40" s="98">
        <v>775.3335737468445</v>
      </c>
      <c r="AT40" s="98">
        <v>504.8683736025965</v>
      </c>
      <c r="AU40" s="98" t="s">
        <v>972</v>
      </c>
      <c r="AV40" s="98">
        <v>360.62026685899747</v>
      </c>
      <c r="AW40" s="98">
        <v>703.209520375045</v>
      </c>
      <c r="AX40" s="98">
        <v>468.8063469166967</v>
      </c>
      <c r="AY40" s="98">
        <v>901.5506671474936</v>
      </c>
      <c r="AZ40" s="98">
        <v>667.1474936891453</v>
      </c>
      <c r="BA40" s="100" t="s">
        <v>972</v>
      </c>
      <c r="BB40" s="100">
        <v>0.5714285714285714</v>
      </c>
      <c r="BC40" s="100" t="s">
        <v>972</v>
      </c>
      <c r="BD40" s="157">
        <v>1.2583</v>
      </c>
      <c r="BE40" s="157">
        <v>1.6709</v>
      </c>
      <c r="BF40" s="161">
        <v>867</v>
      </c>
      <c r="BG40" s="161">
        <v>837</v>
      </c>
      <c r="BH40" s="161">
        <v>1254</v>
      </c>
      <c r="BI40" s="161">
        <v>853</v>
      </c>
      <c r="BJ40" s="161">
        <v>428</v>
      </c>
      <c r="BK40" s="97"/>
      <c r="BL40" s="97"/>
      <c r="BM40" s="97"/>
      <c r="BN40" s="97"/>
    </row>
    <row r="41" spans="1:66" ht="12.75">
      <c r="A41" s="79" t="s">
        <v>284</v>
      </c>
      <c r="B41" s="79" t="s">
        <v>69</v>
      </c>
      <c r="C41" s="79" t="s">
        <v>392</v>
      </c>
      <c r="D41" s="99">
        <v>6361</v>
      </c>
      <c r="E41" s="99">
        <v>995</v>
      </c>
      <c r="F41" s="99" t="s">
        <v>202</v>
      </c>
      <c r="G41" s="99">
        <v>40</v>
      </c>
      <c r="H41" s="99">
        <v>18</v>
      </c>
      <c r="I41" s="99">
        <v>119</v>
      </c>
      <c r="J41" s="99">
        <v>751</v>
      </c>
      <c r="K41" s="99" t="s">
        <v>972</v>
      </c>
      <c r="L41" s="99">
        <v>1119</v>
      </c>
      <c r="M41" s="99">
        <v>542</v>
      </c>
      <c r="N41" s="99">
        <v>277</v>
      </c>
      <c r="O41" s="99">
        <v>187</v>
      </c>
      <c r="P41" s="158">
        <v>187</v>
      </c>
      <c r="Q41" s="99">
        <v>18</v>
      </c>
      <c r="R41" s="99">
        <v>34</v>
      </c>
      <c r="S41" s="99">
        <v>34</v>
      </c>
      <c r="T41" s="99">
        <v>30</v>
      </c>
      <c r="U41" s="99">
        <v>15</v>
      </c>
      <c r="V41" s="99">
        <v>20</v>
      </c>
      <c r="W41" s="99">
        <v>60</v>
      </c>
      <c r="X41" s="99">
        <v>9</v>
      </c>
      <c r="Y41" s="99">
        <v>48</v>
      </c>
      <c r="Z41" s="99">
        <v>46</v>
      </c>
      <c r="AA41" s="99" t="s">
        <v>972</v>
      </c>
      <c r="AB41" s="99" t="s">
        <v>972</v>
      </c>
      <c r="AC41" s="99" t="s">
        <v>972</v>
      </c>
      <c r="AD41" s="98" t="s">
        <v>181</v>
      </c>
      <c r="AE41" s="100">
        <v>0.15642194623486874</v>
      </c>
      <c r="AF41" s="100">
        <v>0.13</v>
      </c>
      <c r="AG41" s="98">
        <v>628.8319446627888</v>
      </c>
      <c r="AH41" s="98">
        <v>282.974375098255</v>
      </c>
      <c r="AI41" s="100">
        <v>0.0187</v>
      </c>
      <c r="AJ41" s="100">
        <v>0.83817</v>
      </c>
      <c r="AK41" s="100" t="s">
        <v>972</v>
      </c>
      <c r="AL41" s="100">
        <v>0.792493</v>
      </c>
      <c r="AM41" s="100">
        <v>0.620848</v>
      </c>
      <c r="AN41" s="100">
        <v>0.600868</v>
      </c>
      <c r="AO41" s="98">
        <v>2939.789341298538</v>
      </c>
      <c r="AP41" s="157">
        <v>1.5199</v>
      </c>
      <c r="AQ41" s="100">
        <v>0.0962566844919786</v>
      </c>
      <c r="AR41" s="100">
        <v>0.5294117647058824</v>
      </c>
      <c r="AS41" s="98">
        <v>534.5071529633706</v>
      </c>
      <c r="AT41" s="98">
        <v>471.6239584970917</v>
      </c>
      <c r="AU41" s="98">
        <v>235.81197924854584</v>
      </c>
      <c r="AV41" s="98">
        <v>314.4159723313944</v>
      </c>
      <c r="AW41" s="98">
        <v>943.2479169941834</v>
      </c>
      <c r="AX41" s="98">
        <v>141.4871875491275</v>
      </c>
      <c r="AY41" s="98">
        <v>754.5983335953466</v>
      </c>
      <c r="AZ41" s="98">
        <v>723.1567363622072</v>
      </c>
      <c r="BA41" s="100" t="s">
        <v>972</v>
      </c>
      <c r="BB41" s="100" t="s">
        <v>972</v>
      </c>
      <c r="BC41" s="100" t="s">
        <v>972</v>
      </c>
      <c r="BD41" s="157">
        <v>1.3097999999999999</v>
      </c>
      <c r="BE41" s="157">
        <v>1.754</v>
      </c>
      <c r="BF41" s="161">
        <v>896</v>
      </c>
      <c r="BG41" s="161" t="s">
        <v>972</v>
      </c>
      <c r="BH41" s="161">
        <v>1412</v>
      </c>
      <c r="BI41" s="161">
        <v>873</v>
      </c>
      <c r="BJ41" s="161">
        <v>461</v>
      </c>
      <c r="BK41" s="97"/>
      <c r="BL41" s="97"/>
      <c r="BM41" s="97"/>
      <c r="BN41" s="97"/>
    </row>
    <row r="42" spans="1:66" ht="12.75">
      <c r="A42" s="79" t="s">
        <v>276</v>
      </c>
      <c r="B42" s="79" t="s">
        <v>59</v>
      </c>
      <c r="C42" s="79" t="s">
        <v>392</v>
      </c>
      <c r="D42" s="99">
        <v>9020</v>
      </c>
      <c r="E42" s="99">
        <v>1162</v>
      </c>
      <c r="F42" s="99" t="s">
        <v>200</v>
      </c>
      <c r="G42" s="99">
        <v>30</v>
      </c>
      <c r="H42" s="99">
        <v>17</v>
      </c>
      <c r="I42" s="99">
        <v>163</v>
      </c>
      <c r="J42" s="99">
        <v>657</v>
      </c>
      <c r="K42" s="99">
        <v>12</v>
      </c>
      <c r="L42" s="99">
        <v>1527</v>
      </c>
      <c r="M42" s="99">
        <v>412</v>
      </c>
      <c r="N42" s="99">
        <v>188</v>
      </c>
      <c r="O42" s="99">
        <v>257</v>
      </c>
      <c r="P42" s="158">
        <v>257</v>
      </c>
      <c r="Q42" s="99">
        <v>26</v>
      </c>
      <c r="R42" s="99">
        <v>51</v>
      </c>
      <c r="S42" s="99">
        <v>50</v>
      </c>
      <c r="T42" s="99">
        <v>38</v>
      </c>
      <c r="U42" s="99">
        <v>11</v>
      </c>
      <c r="V42" s="99">
        <v>61</v>
      </c>
      <c r="W42" s="99">
        <v>59</v>
      </c>
      <c r="X42" s="99">
        <v>12</v>
      </c>
      <c r="Y42" s="99">
        <v>73</v>
      </c>
      <c r="Z42" s="99">
        <v>29</v>
      </c>
      <c r="AA42" s="99">
        <v>15</v>
      </c>
      <c r="AB42" s="99">
        <v>17</v>
      </c>
      <c r="AC42" s="99">
        <v>9</v>
      </c>
      <c r="AD42" s="98" t="s">
        <v>181</v>
      </c>
      <c r="AE42" s="100">
        <v>0.12882483370288247</v>
      </c>
      <c r="AF42" s="100">
        <v>0.22</v>
      </c>
      <c r="AG42" s="98">
        <v>332.59423503325945</v>
      </c>
      <c r="AH42" s="98">
        <v>188.470066518847</v>
      </c>
      <c r="AI42" s="100">
        <v>0.0181</v>
      </c>
      <c r="AJ42" s="100">
        <v>0.693038</v>
      </c>
      <c r="AK42" s="100">
        <v>0.461538</v>
      </c>
      <c r="AL42" s="100">
        <v>0.735195</v>
      </c>
      <c r="AM42" s="100">
        <v>0.535065</v>
      </c>
      <c r="AN42" s="100">
        <v>0.516484</v>
      </c>
      <c r="AO42" s="98">
        <v>2849.223946784922</v>
      </c>
      <c r="AP42" s="157">
        <v>1.6402</v>
      </c>
      <c r="AQ42" s="100">
        <v>0.10116731517509728</v>
      </c>
      <c r="AR42" s="100">
        <v>0.5098039215686274</v>
      </c>
      <c r="AS42" s="98">
        <v>554.3237250554324</v>
      </c>
      <c r="AT42" s="98">
        <v>421.2860310421286</v>
      </c>
      <c r="AU42" s="98">
        <v>121.95121951219512</v>
      </c>
      <c r="AV42" s="98">
        <v>676.2749445676275</v>
      </c>
      <c r="AW42" s="98">
        <v>654.1019955654102</v>
      </c>
      <c r="AX42" s="98">
        <v>133.03769401330376</v>
      </c>
      <c r="AY42" s="98">
        <v>809.3126385809313</v>
      </c>
      <c r="AZ42" s="98">
        <v>321.50776053215077</v>
      </c>
      <c r="BA42" s="100">
        <v>0.36585365853658536</v>
      </c>
      <c r="BB42" s="100">
        <v>0.4146341463414634</v>
      </c>
      <c r="BC42" s="100">
        <v>0.21951219512195122</v>
      </c>
      <c r="BD42" s="157">
        <v>1.4458000000000002</v>
      </c>
      <c r="BE42" s="157">
        <v>1.8535</v>
      </c>
      <c r="BF42" s="161">
        <v>948</v>
      </c>
      <c r="BG42" s="161">
        <v>26</v>
      </c>
      <c r="BH42" s="161">
        <v>2077</v>
      </c>
      <c r="BI42" s="161">
        <v>770</v>
      </c>
      <c r="BJ42" s="161">
        <v>364</v>
      </c>
      <c r="BK42" s="97"/>
      <c r="BL42" s="97"/>
      <c r="BM42" s="97"/>
      <c r="BN42" s="97"/>
    </row>
    <row r="43" spans="1:66" ht="12.75">
      <c r="A43" s="79" t="s">
        <v>365</v>
      </c>
      <c r="B43" s="79" t="s">
        <v>166</v>
      </c>
      <c r="C43" s="79" t="s">
        <v>392</v>
      </c>
      <c r="D43" s="99">
        <v>2107</v>
      </c>
      <c r="E43" s="99">
        <v>291</v>
      </c>
      <c r="F43" s="99" t="s">
        <v>202</v>
      </c>
      <c r="G43" s="99">
        <v>10</v>
      </c>
      <c r="H43" s="99">
        <v>7</v>
      </c>
      <c r="I43" s="99">
        <v>36</v>
      </c>
      <c r="J43" s="99">
        <v>290</v>
      </c>
      <c r="K43" s="99" t="s">
        <v>972</v>
      </c>
      <c r="L43" s="99">
        <v>446</v>
      </c>
      <c r="M43" s="99">
        <v>160</v>
      </c>
      <c r="N43" s="99">
        <v>79</v>
      </c>
      <c r="O43" s="99">
        <v>32</v>
      </c>
      <c r="P43" s="158">
        <v>32</v>
      </c>
      <c r="Q43" s="99" t="s">
        <v>972</v>
      </c>
      <c r="R43" s="99">
        <v>10</v>
      </c>
      <c r="S43" s="99">
        <v>10</v>
      </c>
      <c r="T43" s="99" t="s">
        <v>972</v>
      </c>
      <c r="U43" s="99" t="s">
        <v>972</v>
      </c>
      <c r="V43" s="99">
        <v>7</v>
      </c>
      <c r="W43" s="99">
        <v>17</v>
      </c>
      <c r="X43" s="99" t="s">
        <v>972</v>
      </c>
      <c r="Y43" s="99">
        <v>11</v>
      </c>
      <c r="Z43" s="99">
        <v>8</v>
      </c>
      <c r="AA43" s="99" t="s">
        <v>972</v>
      </c>
      <c r="AB43" s="99" t="s">
        <v>972</v>
      </c>
      <c r="AC43" s="99" t="s">
        <v>972</v>
      </c>
      <c r="AD43" s="98" t="s">
        <v>181</v>
      </c>
      <c r="AE43" s="100">
        <v>0.1381110583768391</v>
      </c>
      <c r="AF43" s="100">
        <v>0.13</v>
      </c>
      <c r="AG43" s="98">
        <v>474.6084480303749</v>
      </c>
      <c r="AH43" s="98">
        <v>332.22591362126246</v>
      </c>
      <c r="AI43" s="100">
        <v>0.0171</v>
      </c>
      <c r="AJ43" s="100">
        <v>0.826211</v>
      </c>
      <c r="AK43" s="100" t="s">
        <v>972</v>
      </c>
      <c r="AL43" s="100">
        <v>0.825926</v>
      </c>
      <c r="AM43" s="100">
        <v>0.529801</v>
      </c>
      <c r="AN43" s="100">
        <v>0.5</v>
      </c>
      <c r="AO43" s="98">
        <v>1518.7470336971999</v>
      </c>
      <c r="AP43" s="157">
        <v>0.7468</v>
      </c>
      <c r="AQ43" s="100" t="s">
        <v>972</v>
      </c>
      <c r="AR43" s="100" t="s">
        <v>972</v>
      </c>
      <c r="AS43" s="98">
        <v>474.6084480303749</v>
      </c>
      <c r="AT43" s="98" t="s">
        <v>972</v>
      </c>
      <c r="AU43" s="98" t="s">
        <v>972</v>
      </c>
      <c r="AV43" s="98">
        <v>332.22591362126246</v>
      </c>
      <c r="AW43" s="98">
        <v>806.8343616516374</v>
      </c>
      <c r="AX43" s="98" t="s">
        <v>972</v>
      </c>
      <c r="AY43" s="98">
        <v>522.0692928334124</v>
      </c>
      <c r="AZ43" s="98">
        <v>379.68675842429997</v>
      </c>
      <c r="BA43" s="100" t="s">
        <v>972</v>
      </c>
      <c r="BB43" s="100" t="s">
        <v>972</v>
      </c>
      <c r="BC43" s="100" t="s">
        <v>972</v>
      </c>
      <c r="BD43" s="157">
        <v>0.5108</v>
      </c>
      <c r="BE43" s="157">
        <v>1.0542</v>
      </c>
      <c r="BF43" s="161">
        <v>351</v>
      </c>
      <c r="BG43" s="161" t="s">
        <v>972</v>
      </c>
      <c r="BH43" s="161">
        <v>540</v>
      </c>
      <c r="BI43" s="161">
        <v>302</v>
      </c>
      <c r="BJ43" s="161">
        <v>158</v>
      </c>
      <c r="BK43" s="97"/>
      <c r="BL43" s="97"/>
      <c r="BM43" s="97"/>
      <c r="BN43" s="97"/>
    </row>
    <row r="44" spans="1:66" ht="12.75">
      <c r="A44" s="79" t="s">
        <v>358</v>
      </c>
      <c r="B44" s="79" t="s">
        <v>158</v>
      </c>
      <c r="C44" s="79" t="s">
        <v>392</v>
      </c>
      <c r="D44" s="99">
        <v>1533</v>
      </c>
      <c r="E44" s="99">
        <v>313</v>
      </c>
      <c r="F44" s="99" t="s">
        <v>203</v>
      </c>
      <c r="G44" s="99">
        <v>8</v>
      </c>
      <c r="H44" s="99">
        <v>7</v>
      </c>
      <c r="I44" s="99">
        <v>31</v>
      </c>
      <c r="J44" s="99">
        <v>177</v>
      </c>
      <c r="K44" s="99">
        <v>154</v>
      </c>
      <c r="L44" s="99">
        <v>331</v>
      </c>
      <c r="M44" s="99">
        <v>118</v>
      </c>
      <c r="N44" s="99">
        <v>64</v>
      </c>
      <c r="O44" s="99">
        <v>21</v>
      </c>
      <c r="P44" s="158">
        <v>21</v>
      </c>
      <c r="Q44" s="99" t="s">
        <v>972</v>
      </c>
      <c r="R44" s="99">
        <v>10</v>
      </c>
      <c r="S44" s="99" t="s">
        <v>972</v>
      </c>
      <c r="T44" s="99" t="s">
        <v>972</v>
      </c>
      <c r="U44" s="99" t="s">
        <v>972</v>
      </c>
      <c r="V44" s="99" t="s">
        <v>972</v>
      </c>
      <c r="W44" s="99">
        <v>8</v>
      </c>
      <c r="X44" s="99">
        <v>7</v>
      </c>
      <c r="Y44" s="99">
        <v>12</v>
      </c>
      <c r="Z44" s="99">
        <v>12</v>
      </c>
      <c r="AA44" s="99" t="s">
        <v>972</v>
      </c>
      <c r="AB44" s="99" t="s">
        <v>972</v>
      </c>
      <c r="AC44" s="99" t="s">
        <v>972</v>
      </c>
      <c r="AD44" s="98" t="s">
        <v>181</v>
      </c>
      <c r="AE44" s="100">
        <v>0.20417482061317677</v>
      </c>
      <c r="AF44" s="100">
        <v>0.07</v>
      </c>
      <c r="AG44" s="98">
        <v>521.8525766470972</v>
      </c>
      <c r="AH44" s="98">
        <v>456.62100456621005</v>
      </c>
      <c r="AI44" s="100">
        <v>0.0202</v>
      </c>
      <c r="AJ44" s="100">
        <v>0.815668</v>
      </c>
      <c r="AK44" s="100">
        <v>0.733333</v>
      </c>
      <c r="AL44" s="100">
        <v>0.807317</v>
      </c>
      <c r="AM44" s="100">
        <v>0.541284</v>
      </c>
      <c r="AN44" s="100">
        <v>0.52459</v>
      </c>
      <c r="AO44" s="98">
        <v>1369.86301369863</v>
      </c>
      <c r="AP44" s="157">
        <v>0.5949</v>
      </c>
      <c r="AQ44" s="100" t="s">
        <v>972</v>
      </c>
      <c r="AR44" s="100" t="s">
        <v>972</v>
      </c>
      <c r="AS44" s="98" t="s">
        <v>972</v>
      </c>
      <c r="AT44" s="98" t="s">
        <v>972</v>
      </c>
      <c r="AU44" s="98" t="s">
        <v>972</v>
      </c>
      <c r="AV44" s="98" t="s">
        <v>972</v>
      </c>
      <c r="AW44" s="98">
        <v>521.8525766470972</v>
      </c>
      <c r="AX44" s="98">
        <v>456.62100456621005</v>
      </c>
      <c r="AY44" s="98">
        <v>782.7788649706458</v>
      </c>
      <c r="AZ44" s="98">
        <v>782.7788649706458</v>
      </c>
      <c r="BA44" s="100" t="s">
        <v>972</v>
      </c>
      <c r="BB44" s="100" t="s">
        <v>972</v>
      </c>
      <c r="BC44" s="100" t="s">
        <v>972</v>
      </c>
      <c r="BD44" s="157">
        <v>0.3682</v>
      </c>
      <c r="BE44" s="157">
        <v>0.9093000000000001</v>
      </c>
      <c r="BF44" s="161">
        <v>217</v>
      </c>
      <c r="BG44" s="161">
        <v>210</v>
      </c>
      <c r="BH44" s="161">
        <v>410</v>
      </c>
      <c r="BI44" s="161">
        <v>218</v>
      </c>
      <c r="BJ44" s="161">
        <v>122</v>
      </c>
      <c r="BK44" s="97"/>
      <c r="BL44" s="97"/>
      <c r="BM44" s="97"/>
      <c r="BN44" s="97"/>
    </row>
    <row r="45" spans="1:66" ht="12.75">
      <c r="A45" s="79" t="s">
        <v>366</v>
      </c>
      <c r="B45" s="79" t="s">
        <v>167</v>
      </c>
      <c r="C45" s="79" t="s">
        <v>392</v>
      </c>
      <c r="D45" s="99">
        <v>1950</v>
      </c>
      <c r="E45" s="99">
        <v>187</v>
      </c>
      <c r="F45" s="99" t="s">
        <v>199</v>
      </c>
      <c r="G45" s="99">
        <v>10</v>
      </c>
      <c r="H45" s="99">
        <v>7</v>
      </c>
      <c r="I45" s="99">
        <v>30</v>
      </c>
      <c r="J45" s="99">
        <v>100</v>
      </c>
      <c r="K45" s="99" t="s">
        <v>972</v>
      </c>
      <c r="L45" s="99">
        <v>296</v>
      </c>
      <c r="M45" s="99">
        <v>69</v>
      </c>
      <c r="N45" s="99">
        <v>41</v>
      </c>
      <c r="O45" s="99">
        <v>54</v>
      </c>
      <c r="P45" s="158">
        <v>54</v>
      </c>
      <c r="Q45" s="99" t="s">
        <v>972</v>
      </c>
      <c r="R45" s="99">
        <v>7</v>
      </c>
      <c r="S45" s="99">
        <v>19</v>
      </c>
      <c r="T45" s="99">
        <v>7</v>
      </c>
      <c r="U45" s="99" t="s">
        <v>972</v>
      </c>
      <c r="V45" s="99">
        <v>16</v>
      </c>
      <c r="W45" s="99">
        <v>13</v>
      </c>
      <c r="X45" s="99" t="s">
        <v>972</v>
      </c>
      <c r="Y45" s="99">
        <v>15</v>
      </c>
      <c r="Z45" s="99">
        <v>11</v>
      </c>
      <c r="AA45" s="99" t="s">
        <v>972</v>
      </c>
      <c r="AB45" s="99" t="s">
        <v>972</v>
      </c>
      <c r="AC45" s="99" t="s">
        <v>972</v>
      </c>
      <c r="AD45" s="98" t="s">
        <v>181</v>
      </c>
      <c r="AE45" s="100">
        <v>0.09589743589743589</v>
      </c>
      <c r="AF45" s="100">
        <v>0.16</v>
      </c>
      <c r="AG45" s="98">
        <v>512.8205128205128</v>
      </c>
      <c r="AH45" s="98">
        <v>358.97435897435895</v>
      </c>
      <c r="AI45" s="100">
        <v>0.0154</v>
      </c>
      <c r="AJ45" s="100">
        <v>0.571429</v>
      </c>
      <c r="AK45" s="100" t="s">
        <v>972</v>
      </c>
      <c r="AL45" s="100">
        <v>0.657778</v>
      </c>
      <c r="AM45" s="100">
        <v>0.43949</v>
      </c>
      <c r="AN45" s="100">
        <v>0.518987</v>
      </c>
      <c r="AO45" s="98">
        <v>2769.230769230769</v>
      </c>
      <c r="AP45" s="157">
        <v>1.6844</v>
      </c>
      <c r="AQ45" s="100" t="s">
        <v>972</v>
      </c>
      <c r="AR45" s="100" t="s">
        <v>972</v>
      </c>
      <c r="AS45" s="98">
        <v>974.3589743589744</v>
      </c>
      <c r="AT45" s="98">
        <v>358.97435897435895</v>
      </c>
      <c r="AU45" s="98" t="s">
        <v>972</v>
      </c>
      <c r="AV45" s="98">
        <v>820.5128205128206</v>
      </c>
      <c r="AW45" s="98">
        <v>666.6666666666666</v>
      </c>
      <c r="AX45" s="98" t="s">
        <v>972</v>
      </c>
      <c r="AY45" s="98">
        <v>769.2307692307693</v>
      </c>
      <c r="AZ45" s="98">
        <v>564.1025641025641</v>
      </c>
      <c r="BA45" s="100" t="s">
        <v>972</v>
      </c>
      <c r="BB45" s="100" t="s">
        <v>972</v>
      </c>
      <c r="BC45" s="100" t="s">
        <v>972</v>
      </c>
      <c r="BD45" s="157">
        <v>1.2654</v>
      </c>
      <c r="BE45" s="157">
        <v>2.1978</v>
      </c>
      <c r="BF45" s="161">
        <v>175</v>
      </c>
      <c r="BG45" s="161" t="s">
        <v>972</v>
      </c>
      <c r="BH45" s="161">
        <v>450</v>
      </c>
      <c r="BI45" s="161">
        <v>157</v>
      </c>
      <c r="BJ45" s="161">
        <v>79</v>
      </c>
      <c r="BK45" s="97"/>
      <c r="BL45" s="97"/>
      <c r="BM45" s="97"/>
      <c r="BN45" s="97"/>
    </row>
    <row r="46" spans="1:66" ht="12.75">
      <c r="A46" s="79" t="s">
        <v>305</v>
      </c>
      <c r="B46" s="79" t="s">
        <v>95</v>
      </c>
      <c r="C46" s="79" t="s">
        <v>392</v>
      </c>
      <c r="D46" s="99">
        <v>6423</v>
      </c>
      <c r="E46" s="99">
        <v>2046</v>
      </c>
      <c r="F46" s="99" t="s">
        <v>201</v>
      </c>
      <c r="G46" s="99">
        <v>65</v>
      </c>
      <c r="H46" s="99">
        <v>27</v>
      </c>
      <c r="I46" s="99">
        <v>141</v>
      </c>
      <c r="J46" s="99">
        <v>801</v>
      </c>
      <c r="K46" s="99">
        <v>21</v>
      </c>
      <c r="L46" s="99">
        <v>1175</v>
      </c>
      <c r="M46" s="99">
        <v>688</v>
      </c>
      <c r="N46" s="99">
        <v>358</v>
      </c>
      <c r="O46" s="99">
        <v>258</v>
      </c>
      <c r="P46" s="158">
        <v>258</v>
      </c>
      <c r="Q46" s="99">
        <v>21</v>
      </c>
      <c r="R46" s="99">
        <v>45</v>
      </c>
      <c r="S46" s="99">
        <v>27</v>
      </c>
      <c r="T46" s="99">
        <v>60</v>
      </c>
      <c r="U46" s="99">
        <v>6</v>
      </c>
      <c r="V46" s="99">
        <v>49</v>
      </c>
      <c r="W46" s="99">
        <v>58</v>
      </c>
      <c r="X46" s="99">
        <v>61</v>
      </c>
      <c r="Y46" s="99">
        <v>94</v>
      </c>
      <c r="Z46" s="99">
        <v>39</v>
      </c>
      <c r="AA46" s="99">
        <v>6</v>
      </c>
      <c r="AB46" s="99">
        <v>27</v>
      </c>
      <c r="AC46" s="99">
        <v>9</v>
      </c>
      <c r="AD46" s="98" t="s">
        <v>181</v>
      </c>
      <c r="AE46" s="100">
        <v>0.31854273703876695</v>
      </c>
      <c r="AF46" s="100">
        <v>0.09</v>
      </c>
      <c r="AG46" s="98">
        <v>1011.9881675229643</v>
      </c>
      <c r="AH46" s="98">
        <v>420.36431574030826</v>
      </c>
      <c r="AI46" s="100">
        <v>0.022000000000000002</v>
      </c>
      <c r="AJ46" s="100">
        <v>0.748598</v>
      </c>
      <c r="AK46" s="100">
        <v>0.617647</v>
      </c>
      <c r="AL46" s="100">
        <v>0.842294</v>
      </c>
      <c r="AM46" s="100">
        <v>0.66861</v>
      </c>
      <c r="AN46" s="100">
        <v>0.666667</v>
      </c>
      <c r="AO46" s="98">
        <v>4016.8145726296125</v>
      </c>
      <c r="AP46" s="157">
        <v>1.4408</v>
      </c>
      <c r="AQ46" s="100">
        <v>0.08139534883720931</v>
      </c>
      <c r="AR46" s="100">
        <v>0.4666666666666667</v>
      </c>
      <c r="AS46" s="98">
        <v>420.36431574030826</v>
      </c>
      <c r="AT46" s="98">
        <v>934.1429238673517</v>
      </c>
      <c r="AU46" s="98">
        <v>93.41429238673517</v>
      </c>
      <c r="AV46" s="98">
        <v>762.8833878250039</v>
      </c>
      <c r="AW46" s="98">
        <v>903.0048264051067</v>
      </c>
      <c r="AX46" s="98">
        <v>949.7119725984743</v>
      </c>
      <c r="AY46" s="98">
        <v>1463.4905807255177</v>
      </c>
      <c r="AZ46" s="98">
        <v>607.1929005137786</v>
      </c>
      <c r="BA46" s="100">
        <v>0.14285714285714285</v>
      </c>
      <c r="BB46" s="100">
        <v>0.6428571428571429</v>
      </c>
      <c r="BC46" s="100">
        <v>0.21428571428571427</v>
      </c>
      <c r="BD46" s="157">
        <v>1.2703</v>
      </c>
      <c r="BE46" s="157">
        <v>1.6277000000000001</v>
      </c>
      <c r="BF46" s="161">
        <v>1070</v>
      </c>
      <c r="BG46" s="161">
        <v>34</v>
      </c>
      <c r="BH46" s="161">
        <v>1395</v>
      </c>
      <c r="BI46" s="161">
        <v>1029</v>
      </c>
      <c r="BJ46" s="161">
        <v>537</v>
      </c>
      <c r="BK46" s="97"/>
      <c r="BL46" s="97"/>
      <c r="BM46" s="97"/>
      <c r="BN46" s="97"/>
    </row>
    <row r="47" spans="1:66" ht="12.75">
      <c r="A47" s="79" t="s">
        <v>315</v>
      </c>
      <c r="B47" s="79" t="s">
        <v>106</v>
      </c>
      <c r="C47" s="79" t="s">
        <v>392</v>
      </c>
      <c r="D47" s="99">
        <v>11638</v>
      </c>
      <c r="E47" s="99">
        <v>1624</v>
      </c>
      <c r="F47" s="99" t="s">
        <v>199</v>
      </c>
      <c r="G47" s="99">
        <v>63</v>
      </c>
      <c r="H47" s="99">
        <v>26</v>
      </c>
      <c r="I47" s="99">
        <v>232</v>
      </c>
      <c r="J47" s="99">
        <v>900</v>
      </c>
      <c r="K47" s="99">
        <v>14</v>
      </c>
      <c r="L47" s="99">
        <v>2114</v>
      </c>
      <c r="M47" s="99">
        <v>687</v>
      </c>
      <c r="N47" s="99">
        <v>345</v>
      </c>
      <c r="O47" s="99">
        <v>234</v>
      </c>
      <c r="P47" s="158">
        <v>234</v>
      </c>
      <c r="Q47" s="99">
        <v>30</v>
      </c>
      <c r="R47" s="99">
        <v>57</v>
      </c>
      <c r="S47" s="99">
        <v>52</v>
      </c>
      <c r="T47" s="99">
        <v>48</v>
      </c>
      <c r="U47" s="99">
        <v>10</v>
      </c>
      <c r="V47" s="99">
        <v>41</v>
      </c>
      <c r="W47" s="99">
        <v>80</v>
      </c>
      <c r="X47" s="99">
        <v>15</v>
      </c>
      <c r="Y47" s="99">
        <v>72</v>
      </c>
      <c r="Z47" s="99">
        <v>61</v>
      </c>
      <c r="AA47" s="99">
        <v>12</v>
      </c>
      <c r="AB47" s="99">
        <v>28</v>
      </c>
      <c r="AC47" s="99">
        <v>10</v>
      </c>
      <c r="AD47" s="98" t="s">
        <v>181</v>
      </c>
      <c r="AE47" s="100">
        <v>0.1395428767829524</v>
      </c>
      <c r="AF47" s="100">
        <v>0.17</v>
      </c>
      <c r="AG47" s="98">
        <v>541.3301254511084</v>
      </c>
      <c r="AH47" s="98">
        <v>223.40608351950507</v>
      </c>
      <c r="AI47" s="100">
        <v>0.0199</v>
      </c>
      <c r="AJ47" s="100">
        <v>0.667161</v>
      </c>
      <c r="AK47" s="100">
        <v>0.666667</v>
      </c>
      <c r="AL47" s="100">
        <v>0.739419</v>
      </c>
      <c r="AM47" s="100">
        <v>0.550481</v>
      </c>
      <c r="AN47" s="100">
        <v>0.540752</v>
      </c>
      <c r="AO47" s="98">
        <v>2010.6547516755456</v>
      </c>
      <c r="AP47" s="157">
        <v>1.0676999999999999</v>
      </c>
      <c r="AQ47" s="100">
        <v>0.1282051282051282</v>
      </c>
      <c r="AR47" s="100">
        <v>0.5263157894736842</v>
      </c>
      <c r="AS47" s="98">
        <v>446.81216703901015</v>
      </c>
      <c r="AT47" s="98">
        <v>412.4420003437017</v>
      </c>
      <c r="AU47" s="98">
        <v>85.92541673827118</v>
      </c>
      <c r="AV47" s="98">
        <v>352.2942086269118</v>
      </c>
      <c r="AW47" s="98">
        <v>687.4033339061695</v>
      </c>
      <c r="AX47" s="98">
        <v>128.88812510740678</v>
      </c>
      <c r="AY47" s="98">
        <v>618.6630005155525</v>
      </c>
      <c r="AZ47" s="98">
        <v>524.1450421034542</v>
      </c>
      <c r="BA47" s="100">
        <v>0.24</v>
      </c>
      <c r="BB47" s="100">
        <v>0.56</v>
      </c>
      <c r="BC47" s="100">
        <v>0.2</v>
      </c>
      <c r="BD47" s="157">
        <v>0.9353</v>
      </c>
      <c r="BE47" s="157">
        <v>1.2136</v>
      </c>
      <c r="BF47" s="161">
        <v>1349</v>
      </c>
      <c r="BG47" s="161">
        <v>21</v>
      </c>
      <c r="BH47" s="161">
        <v>2859</v>
      </c>
      <c r="BI47" s="161">
        <v>1248</v>
      </c>
      <c r="BJ47" s="161">
        <v>638</v>
      </c>
      <c r="BK47" s="97"/>
      <c r="BL47" s="97"/>
      <c r="BM47" s="97"/>
      <c r="BN47" s="97"/>
    </row>
    <row r="48" spans="1:66" ht="12.75">
      <c r="A48" s="79" t="s">
        <v>352</v>
      </c>
      <c r="B48" s="79" t="s">
        <v>151</v>
      </c>
      <c r="C48" s="79" t="s">
        <v>392</v>
      </c>
      <c r="D48" s="99">
        <v>6965</v>
      </c>
      <c r="E48" s="99">
        <v>1024</v>
      </c>
      <c r="F48" s="99" t="s">
        <v>203</v>
      </c>
      <c r="G48" s="99">
        <v>30</v>
      </c>
      <c r="H48" s="99">
        <v>14</v>
      </c>
      <c r="I48" s="99">
        <v>121</v>
      </c>
      <c r="J48" s="99">
        <v>696</v>
      </c>
      <c r="K48" s="99">
        <v>671</v>
      </c>
      <c r="L48" s="99">
        <v>1587</v>
      </c>
      <c r="M48" s="99">
        <v>534</v>
      </c>
      <c r="N48" s="99">
        <v>261</v>
      </c>
      <c r="O48" s="99">
        <v>174</v>
      </c>
      <c r="P48" s="158">
        <v>174</v>
      </c>
      <c r="Q48" s="99">
        <v>24</v>
      </c>
      <c r="R48" s="99">
        <v>46</v>
      </c>
      <c r="S48" s="99">
        <v>32</v>
      </c>
      <c r="T48" s="99">
        <v>33</v>
      </c>
      <c r="U48" s="99">
        <v>8</v>
      </c>
      <c r="V48" s="99">
        <v>33</v>
      </c>
      <c r="W48" s="99">
        <v>73</v>
      </c>
      <c r="X48" s="99">
        <v>10</v>
      </c>
      <c r="Y48" s="99">
        <v>47</v>
      </c>
      <c r="Z48" s="99">
        <v>32</v>
      </c>
      <c r="AA48" s="99">
        <v>8</v>
      </c>
      <c r="AB48" s="99">
        <v>18</v>
      </c>
      <c r="AC48" s="99">
        <v>6</v>
      </c>
      <c r="AD48" s="98" t="s">
        <v>181</v>
      </c>
      <c r="AE48" s="100">
        <v>0.1470208183776023</v>
      </c>
      <c r="AF48" s="100">
        <v>0.07</v>
      </c>
      <c r="AG48" s="98">
        <v>430.72505384063174</v>
      </c>
      <c r="AH48" s="98">
        <v>201.00502512562815</v>
      </c>
      <c r="AI48" s="100">
        <v>0.0174</v>
      </c>
      <c r="AJ48" s="100">
        <v>0.830549</v>
      </c>
      <c r="AK48" s="100">
        <v>0.830446</v>
      </c>
      <c r="AL48" s="100">
        <v>0.86485</v>
      </c>
      <c r="AM48" s="100">
        <v>0.709163</v>
      </c>
      <c r="AN48" s="100">
        <v>0.703504</v>
      </c>
      <c r="AO48" s="98">
        <v>2498.2053122756643</v>
      </c>
      <c r="AP48" s="157">
        <v>1.2698</v>
      </c>
      <c r="AQ48" s="100">
        <v>0.13793103448275862</v>
      </c>
      <c r="AR48" s="100">
        <v>0.5217391304347826</v>
      </c>
      <c r="AS48" s="98">
        <v>459.4400574300072</v>
      </c>
      <c r="AT48" s="98">
        <v>473.7975592246949</v>
      </c>
      <c r="AU48" s="98">
        <v>114.8600143575018</v>
      </c>
      <c r="AV48" s="98">
        <v>473.7975592246949</v>
      </c>
      <c r="AW48" s="98">
        <v>1048.097631012204</v>
      </c>
      <c r="AX48" s="98">
        <v>143.57501794687724</v>
      </c>
      <c r="AY48" s="98">
        <v>674.8025843503231</v>
      </c>
      <c r="AZ48" s="98">
        <v>459.4400574300072</v>
      </c>
      <c r="BA48" s="100">
        <v>0.25</v>
      </c>
      <c r="BB48" s="100">
        <v>0.5625</v>
      </c>
      <c r="BC48" s="100">
        <v>0.1875</v>
      </c>
      <c r="BD48" s="157">
        <v>1.0881</v>
      </c>
      <c r="BE48" s="157">
        <v>1.4731</v>
      </c>
      <c r="BF48" s="161">
        <v>838</v>
      </c>
      <c r="BG48" s="161">
        <v>808</v>
      </c>
      <c r="BH48" s="161">
        <v>1835</v>
      </c>
      <c r="BI48" s="161">
        <v>753</v>
      </c>
      <c r="BJ48" s="161">
        <v>371</v>
      </c>
      <c r="BK48" s="97"/>
      <c r="BL48" s="97"/>
      <c r="BM48" s="97"/>
      <c r="BN48" s="97"/>
    </row>
    <row r="49" spans="1:66" ht="12.75">
      <c r="A49" s="79" t="s">
        <v>350</v>
      </c>
      <c r="B49" s="79" t="s">
        <v>149</v>
      </c>
      <c r="C49" s="79" t="s">
        <v>392</v>
      </c>
      <c r="D49" s="99">
        <v>5655</v>
      </c>
      <c r="E49" s="99">
        <v>1351</v>
      </c>
      <c r="F49" s="99" t="s">
        <v>202</v>
      </c>
      <c r="G49" s="99">
        <v>37</v>
      </c>
      <c r="H49" s="99">
        <v>16</v>
      </c>
      <c r="I49" s="99">
        <v>104</v>
      </c>
      <c r="J49" s="99">
        <v>611</v>
      </c>
      <c r="K49" s="99">
        <v>9</v>
      </c>
      <c r="L49" s="99">
        <v>1017</v>
      </c>
      <c r="M49" s="99">
        <v>483</v>
      </c>
      <c r="N49" s="99">
        <v>243</v>
      </c>
      <c r="O49" s="99">
        <v>102</v>
      </c>
      <c r="P49" s="158">
        <v>102</v>
      </c>
      <c r="Q49" s="99">
        <v>14</v>
      </c>
      <c r="R49" s="99">
        <v>29</v>
      </c>
      <c r="S49" s="99">
        <v>23</v>
      </c>
      <c r="T49" s="99">
        <v>25</v>
      </c>
      <c r="U49" s="99" t="s">
        <v>972</v>
      </c>
      <c r="V49" s="99">
        <v>6</v>
      </c>
      <c r="W49" s="99">
        <v>29</v>
      </c>
      <c r="X49" s="99">
        <v>15</v>
      </c>
      <c r="Y49" s="99">
        <v>47</v>
      </c>
      <c r="Z49" s="99">
        <v>36</v>
      </c>
      <c r="AA49" s="99">
        <v>7</v>
      </c>
      <c r="AB49" s="99">
        <v>20</v>
      </c>
      <c r="AC49" s="99">
        <v>6</v>
      </c>
      <c r="AD49" s="98" t="s">
        <v>181</v>
      </c>
      <c r="AE49" s="100">
        <v>0.23890362511052166</v>
      </c>
      <c r="AF49" s="100">
        <v>0.12</v>
      </c>
      <c r="AG49" s="98">
        <v>654.2882404951371</v>
      </c>
      <c r="AH49" s="98">
        <v>282.93545534924846</v>
      </c>
      <c r="AI49" s="100">
        <v>0.0184</v>
      </c>
      <c r="AJ49" s="100">
        <v>0.738815</v>
      </c>
      <c r="AK49" s="100">
        <v>0.5625</v>
      </c>
      <c r="AL49" s="100">
        <v>0.768707</v>
      </c>
      <c r="AM49" s="100">
        <v>0.602244</v>
      </c>
      <c r="AN49" s="100">
        <v>0.58134</v>
      </c>
      <c r="AO49" s="98">
        <v>1803.7135278514588</v>
      </c>
      <c r="AP49" s="157">
        <v>0.7445</v>
      </c>
      <c r="AQ49" s="100">
        <v>0.13725490196078433</v>
      </c>
      <c r="AR49" s="100">
        <v>0.4827586206896552</v>
      </c>
      <c r="AS49" s="98">
        <v>406.7197170645446</v>
      </c>
      <c r="AT49" s="98">
        <v>442.0866489832007</v>
      </c>
      <c r="AU49" s="98" t="s">
        <v>972</v>
      </c>
      <c r="AV49" s="98">
        <v>106.10079575596816</v>
      </c>
      <c r="AW49" s="98">
        <v>512.8205128205128</v>
      </c>
      <c r="AX49" s="98">
        <v>265.2519893899204</v>
      </c>
      <c r="AY49" s="98">
        <v>831.1229000884173</v>
      </c>
      <c r="AZ49" s="98">
        <v>636.604774535809</v>
      </c>
      <c r="BA49" s="100">
        <v>0.21212121212121213</v>
      </c>
      <c r="BB49" s="100">
        <v>0.6060606060606061</v>
      </c>
      <c r="BC49" s="100">
        <v>0.18181818181818182</v>
      </c>
      <c r="BD49" s="157">
        <v>0.6071</v>
      </c>
      <c r="BE49" s="157">
        <v>0.9037999999999999</v>
      </c>
      <c r="BF49" s="161">
        <v>827</v>
      </c>
      <c r="BG49" s="161">
        <v>16</v>
      </c>
      <c r="BH49" s="161">
        <v>1323</v>
      </c>
      <c r="BI49" s="161">
        <v>802</v>
      </c>
      <c r="BJ49" s="161">
        <v>418</v>
      </c>
      <c r="BK49" s="97"/>
      <c r="BL49" s="97"/>
      <c r="BM49" s="97"/>
      <c r="BN49" s="97"/>
    </row>
    <row r="50" spans="1:66" ht="12.75">
      <c r="A50" s="79" t="s">
        <v>346</v>
      </c>
      <c r="B50" s="79" t="s">
        <v>145</v>
      </c>
      <c r="C50" s="79" t="s">
        <v>392</v>
      </c>
      <c r="D50" s="99">
        <v>2724</v>
      </c>
      <c r="E50" s="99">
        <v>691</v>
      </c>
      <c r="F50" s="99" t="s">
        <v>202</v>
      </c>
      <c r="G50" s="99">
        <v>23</v>
      </c>
      <c r="H50" s="99">
        <v>11</v>
      </c>
      <c r="I50" s="99">
        <v>86</v>
      </c>
      <c r="J50" s="99">
        <v>355</v>
      </c>
      <c r="K50" s="99">
        <v>326</v>
      </c>
      <c r="L50" s="99">
        <v>487</v>
      </c>
      <c r="M50" s="99">
        <v>302</v>
      </c>
      <c r="N50" s="99">
        <v>148</v>
      </c>
      <c r="O50" s="99">
        <v>61</v>
      </c>
      <c r="P50" s="158">
        <v>61</v>
      </c>
      <c r="Q50" s="99">
        <v>11</v>
      </c>
      <c r="R50" s="99">
        <v>28</v>
      </c>
      <c r="S50" s="99">
        <v>9</v>
      </c>
      <c r="T50" s="99">
        <v>13</v>
      </c>
      <c r="U50" s="99" t="s">
        <v>972</v>
      </c>
      <c r="V50" s="99">
        <v>7</v>
      </c>
      <c r="W50" s="99">
        <v>23</v>
      </c>
      <c r="X50" s="99">
        <v>30</v>
      </c>
      <c r="Y50" s="99">
        <v>25</v>
      </c>
      <c r="Z50" s="99">
        <v>21</v>
      </c>
      <c r="AA50" s="99" t="s">
        <v>972</v>
      </c>
      <c r="AB50" s="99" t="s">
        <v>972</v>
      </c>
      <c r="AC50" s="99">
        <v>11</v>
      </c>
      <c r="AD50" s="98" t="s">
        <v>181</v>
      </c>
      <c r="AE50" s="100">
        <v>0.25367107195301025</v>
      </c>
      <c r="AF50" s="100">
        <v>0.13</v>
      </c>
      <c r="AG50" s="98">
        <v>844.3465491923641</v>
      </c>
      <c r="AH50" s="98">
        <v>403.8179148311307</v>
      </c>
      <c r="AI50" s="100">
        <v>0.0316</v>
      </c>
      <c r="AJ50" s="100">
        <v>0.770065</v>
      </c>
      <c r="AK50" s="100">
        <v>0.756381</v>
      </c>
      <c r="AL50" s="100">
        <v>0.817114</v>
      </c>
      <c r="AM50" s="100">
        <v>0.625259</v>
      </c>
      <c r="AN50" s="100">
        <v>0.621849</v>
      </c>
      <c r="AO50" s="98">
        <v>2239.3538913362704</v>
      </c>
      <c r="AP50" s="157">
        <v>0.8931999999999999</v>
      </c>
      <c r="AQ50" s="100">
        <v>0.18032786885245902</v>
      </c>
      <c r="AR50" s="100">
        <v>0.39285714285714285</v>
      </c>
      <c r="AS50" s="98">
        <v>330.3964757709251</v>
      </c>
      <c r="AT50" s="98">
        <v>477.2393538913363</v>
      </c>
      <c r="AU50" s="98" t="s">
        <v>972</v>
      </c>
      <c r="AV50" s="98">
        <v>256.9750367107195</v>
      </c>
      <c r="AW50" s="98">
        <v>844.3465491923641</v>
      </c>
      <c r="AX50" s="98">
        <v>1101.3215859030836</v>
      </c>
      <c r="AY50" s="98">
        <v>917.7679882525697</v>
      </c>
      <c r="AZ50" s="98">
        <v>770.9251101321586</v>
      </c>
      <c r="BA50" s="100" t="s">
        <v>972</v>
      </c>
      <c r="BB50" s="100" t="s">
        <v>972</v>
      </c>
      <c r="BC50" s="100">
        <v>0.5238095238095238</v>
      </c>
      <c r="BD50" s="157">
        <v>0.6831999999999999</v>
      </c>
      <c r="BE50" s="157">
        <v>1.1474</v>
      </c>
      <c r="BF50" s="161">
        <v>461</v>
      </c>
      <c r="BG50" s="161">
        <v>431</v>
      </c>
      <c r="BH50" s="161">
        <v>596</v>
      </c>
      <c r="BI50" s="161">
        <v>483</v>
      </c>
      <c r="BJ50" s="161">
        <v>238</v>
      </c>
      <c r="BK50" s="97"/>
      <c r="BL50" s="97"/>
      <c r="BM50" s="97"/>
      <c r="BN50" s="97"/>
    </row>
    <row r="51" spans="1:66" ht="12.75">
      <c r="A51" s="79" t="s">
        <v>368</v>
      </c>
      <c r="B51" s="79" t="s">
        <v>170</v>
      </c>
      <c r="C51" s="79" t="s">
        <v>392</v>
      </c>
      <c r="D51" s="99">
        <v>2061</v>
      </c>
      <c r="E51" s="99">
        <v>502</v>
      </c>
      <c r="F51" s="99" t="s">
        <v>201</v>
      </c>
      <c r="G51" s="99">
        <v>12</v>
      </c>
      <c r="H51" s="99" t="s">
        <v>972</v>
      </c>
      <c r="I51" s="99">
        <v>55</v>
      </c>
      <c r="J51" s="99">
        <v>272</v>
      </c>
      <c r="K51" s="99">
        <v>244</v>
      </c>
      <c r="L51" s="99">
        <v>403</v>
      </c>
      <c r="M51" s="99">
        <v>187</v>
      </c>
      <c r="N51" s="99">
        <v>82</v>
      </c>
      <c r="O51" s="99">
        <v>27</v>
      </c>
      <c r="P51" s="158">
        <v>27</v>
      </c>
      <c r="Q51" s="99" t="s">
        <v>972</v>
      </c>
      <c r="R51" s="99">
        <v>11</v>
      </c>
      <c r="S51" s="99" t="s">
        <v>972</v>
      </c>
      <c r="T51" s="99">
        <v>10</v>
      </c>
      <c r="U51" s="99" t="s">
        <v>972</v>
      </c>
      <c r="V51" s="99" t="s">
        <v>972</v>
      </c>
      <c r="W51" s="99">
        <v>10</v>
      </c>
      <c r="X51" s="99" t="s">
        <v>972</v>
      </c>
      <c r="Y51" s="99">
        <v>14</v>
      </c>
      <c r="Z51" s="99">
        <v>10</v>
      </c>
      <c r="AA51" s="99" t="s">
        <v>972</v>
      </c>
      <c r="AB51" s="99" t="s">
        <v>972</v>
      </c>
      <c r="AC51" s="99" t="s">
        <v>972</v>
      </c>
      <c r="AD51" s="98" t="s">
        <v>181</v>
      </c>
      <c r="AE51" s="100">
        <v>0.2435710819990296</v>
      </c>
      <c r="AF51" s="100">
        <v>0.11</v>
      </c>
      <c r="AG51" s="98">
        <v>582.2416302765648</v>
      </c>
      <c r="AH51" s="98" t="s">
        <v>972</v>
      </c>
      <c r="AI51" s="100">
        <v>0.026699999999999998</v>
      </c>
      <c r="AJ51" s="100">
        <v>0.834356</v>
      </c>
      <c r="AK51" s="100">
        <v>0.77707</v>
      </c>
      <c r="AL51" s="100">
        <v>0.844864</v>
      </c>
      <c r="AM51" s="100">
        <v>0.578947</v>
      </c>
      <c r="AN51" s="100">
        <v>0.546667</v>
      </c>
      <c r="AO51" s="98">
        <v>1310.0436681222707</v>
      </c>
      <c r="AP51" s="157">
        <v>0.5265</v>
      </c>
      <c r="AQ51" s="100" t="s">
        <v>972</v>
      </c>
      <c r="AR51" s="100" t="s">
        <v>972</v>
      </c>
      <c r="AS51" s="98" t="s">
        <v>972</v>
      </c>
      <c r="AT51" s="98">
        <v>485.201358563804</v>
      </c>
      <c r="AU51" s="98" t="s">
        <v>972</v>
      </c>
      <c r="AV51" s="98" t="s">
        <v>972</v>
      </c>
      <c r="AW51" s="98">
        <v>485.201358563804</v>
      </c>
      <c r="AX51" s="98" t="s">
        <v>972</v>
      </c>
      <c r="AY51" s="98">
        <v>679.2819019893255</v>
      </c>
      <c r="AZ51" s="98">
        <v>485.201358563804</v>
      </c>
      <c r="BA51" s="100" t="s">
        <v>972</v>
      </c>
      <c r="BB51" s="100" t="s">
        <v>972</v>
      </c>
      <c r="BC51" s="100" t="s">
        <v>972</v>
      </c>
      <c r="BD51" s="157">
        <v>0.3469</v>
      </c>
      <c r="BE51" s="157">
        <v>0.7659999999999999</v>
      </c>
      <c r="BF51" s="161">
        <v>326</v>
      </c>
      <c r="BG51" s="161">
        <v>314</v>
      </c>
      <c r="BH51" s="161">
        <v>477</v>
      </c>
      <c r="BI51" s="161">
        <v>323</v>
      </c>
      <c r="BJ51" s="161">
        <v>150</v>
      </c>
      <c r="BK51" s="97"/>
      <c r="BL51" s="97"/>
      <c r="BM51" s="97"/>
      <c r="BN51" s="97"/>
    </row>
    <row r="52" spans="1:66" ht="12.75">
      <c r="A52" s="79" t="s">
        <v>367</v>
      </c>
      <c r="B52" s="79" t="s">
        <v>168</v>
      </c>
      <c r="C52" s="79" t="s">
        <v>392</v>
      </c>
      <c r="D52" s="99">
        <v>3670</v>
      </c>
      <c r="E52" s="99">
        <v>619</v>
      </c>
      <c r="F52" s="99" t="s">
        <v>201</v>
      </c>
      <c r="G52" s="99">
        <v>22</v>
      </c>
      <c r="H52" s="99">
        <v>19</v>
      </c>
      <c r="I52" s="99">
        <v>80</v>
      </c>
      <c r="J52" s="99">
        <v>408</v>
      </c>
      <c r="K52" s="99">
        <v>6</v>
      </c>
      <c r="L52" s="99">
        <v>844</v>
      </c>
      <c r="M52" s="99">
        <v>263</v>
      </c>
      <c r="N52" s="99">
        <v>140</v>
      </c>
      <c r="O52" s="99">
        <v>64</v>
      </c>
      <c r="P52" s="158">
        <v>64</v>
      </c>
      <c r="Q52" s="99">
        <v>14</v>
      </c>
      <c r="R52" s="99">
        <v>26</v>
      </c>
      <c r="S52" s="99">
        <v>11</v>
      </c>
      <c r="T52" s="99">
        <v>9</v>
      </c>
      <c r="U52" s="99" t="s">
        <v>972</v>
      </c>
      <c r="V52" s="99">
        <v>12</v>
      </c>
      <c r="W52" s="99">
        <v>25</v>
      </c>
      <c r="X52" s="99" t="s">
        <v>972</v>
      </c>
      <c r="Y52" s="99">
        <v>12</v>
      </c>
      <c r="Z52" s="99">
        <v>18</v>
      </c>
      <c r="AA52" s="99" t="s">
        <v>972</v>
      </c>
      <c r="AB52" s="99" t="s">
        <v>972</v>
      </c>
      <c r="AC52" s="99" t="s">
        <v>972</v>
      </c>
      <c r="AD52" s="98" t="s">
        <v>181</v>
      </c>
      <c r="AE52" s="100">
        <v>0.16866485013623977</v>
      </c>
      <c r="AF52" s="100">
        <v>0.08</v>
      </c>
      <c r="AG52" s="98">
        <v>599.4550408719346</v>
      </c>
      <c r="AH52" s="98">
        <v>517.7111716621254</v>
      </c>
      <c r="AI52" s="100">
        <v>0.0218</v>
      </c>
      <c r="AJ52" s="100">
        <v>0.778626</v>
      </c>
      <c r="AK52" s="100">
        <v>0.6</v>
      </c>
      <c r="AL52" s="100">
        <v>0.897872</v>
      </c>
      <c r="AM52" s="100">
        <v>0.635266</v>
      </c>
      <c r="AN52" s="100">
        <v>0.676329</v>
      </c>
      <c r="AO52" s="98">
        <v>1743.8692098092642</v>
      </c>
      <c r="AP52" s="157">
        <v>0.8249</v>
      </c>
      <c r="AQ52" s="100">
        <v>0.21875</v>
      </c>
      <c r="AR52" s="100">
        <v>0.5384615384615384</v>
      </c>
      <c r="AS52" s="98">
        <v>299.7275204359673</v>
      </c>
      <c r="AT52" s="98">
        <v>245.2316076294278</v>
      </c>
      <c r="AU52" s="98" t="s">
        <v>972</v>
      </c>
      <c r="AV52" s="98">
        <v>326.97547683923705</v>
      </c>
      <c r="AW52" s="98">
        <v>681.1989100817439</v>
      </c>
      <c r="AX52" s="98" t="s">
        <v>972</v>
      </c>
      <c r="AY52" s="98">
        <v>326.97547683923705</v>
      </c>
      <c r="AZ52" s="98">
        <v>490.4632152588556</v>
      </c>
      <c r="BA52" s="100" t="s">
        <v>972</v>
      </c>
      <c r="BB52" s="100" t="s">
        <v>972</v>
      </c>
      <c r="BC52" s="100" t="s">
        <v>972</v>
      </c>
      <c r="BD52" s="157">
        <v>0.6353</v>
      </c>
      <c r="BE52" s="157">
        <v>1.0534000000000001</v>
      </c>
      <c r="BF52" s="161">
        <v>524</v>
      </c>
      <c r="BG52" s="161">
        <v>10</v>
      </c>
      <c r="BH52" s="161">
        <v>940</v>
      </c>
      <c r="BI52" s="161">
        <v>414</v>
      </c>
      <c r="BJ52" s="161">
        <v>207</v>
      </c>
      <c r="BK52" s="97"/>
      <c r="BL52" s="97"/>
      <c r="BM52" s="97"/>
      <c r="BN52" s="97"/>
    </row>
    <row r="53" spans="1:66" ht="12.75">
      <c r="A53" s="79" t="s">
        <v>354</v>
      </c>
      <c r="B53" s="79" t="s">
        <v>153</v>
      </c>
      <c r="C53" s="79" t="s">
        <v>392</v>
      </c>
      <c r="D53" s="99">
        <v>3859</v>
      </c>
      <c r="E53" s="99">
        <v>524</v>
      </c>
      <c r="F53" s="99" t="s">
        <v>201</v>
      </c>
      <c r="G53" s="99">
        <v>13</v>
      </c>
      <c r="H53" s="99">
        <v>8</v>
      </c>
      <c r="I53" s="99">
        <v>68</v>
      </c>
      <c r="J53" s="99">
        <v>320</v>
      </c>
      <c r="K53" s="99" t="s">
        <v>972</v>
      </c>
      <c r="L53" s="99">
        <v>896</v>
      </c>
      <c r="M53" s="99">
        <v>247</v>
      </c>
      <c r="N53" s="99">
        <v>115</v>
      </c>
      <c r="O53" s="99">
        <v>84</v>
      </c>
      <c r="P53" s="158">
        <v>84</v>
      </c>
      <c r="Q53" s="99" t="s">
        <v>972</v>
      </c>
      <c r="R53" s="99">
        <v>10</v>
      </c>
      <c r="S53" s="99">
        <v>14</v>
      </c>
      <c r="T53" s="99">
        <v>22</v>
      </c>
      <c r="U53" s="99" t="s">
        <v>972</v>
      </c>
      <c r="V53" s="99">
        <v>16</v>
      </c>
      <c r="W53" s="99">
        <v>25</v>
      </c>
      <c r="X53" s="99">
        <v>15</v>
      </c>
      <c r="Y53" s="99">
        <v>34</v>
      </c>
      <c r="Z53" s="99">
        <v>12</v>
      </c>
      <c r="AA53" s="99" t="s">
        <v>972</v>
      </c>
      <c r="AB53" s="99" t="s">
        <v>972</v>
      </c>
      <c r="AC53" s="99" t="s">
        <v>972</v>
      </c>
      <c r="AD53" s="98" t="s">
        <v>181</v>
      </c>
      <c r="AE53" s="100">
        <v>0.1357864731795802</v>
      </c>
      <c r="AF53" s="100">
        <v>0.1</v>
      </c>
      <c r="AG53" s="98">
        <v>336.87483804094325</v>
      </c>
      <c r="AH53" s="98">
        <v>207.30759264058045</v>
      </c>
      <c r="AI53" s="100">
        <v>0.0176</v>
      </c>
      <c r="AJ53" s="100">
        <v>0.709534</v>
      </c>
      <c r="AK53" s="100" t="s">
        <v>972</v>
      </c>
      <c r="AL53" s="100">
        <v>0.866538</v>
      </c>
      <c r="AM53" s="100">
        <v>0.651715</v>
      </c>
      <c r="AN53" s="100">
        <v>0.61828</v>
      </c>
      <c r="AO53" s="98">
        <v>2176.7297227260947</v>
      </c>
      <c r="AP53" s="157">
        <v>1.1711</v>
      </c>
      <c r="AQ53" s="100" t="s">
        <v>972</v>
      </c>
      <c r="AR53" s="100" t="s">
        <v>972</v>
      </c>
      <c r="AS53" s="98">
        <v>362.7882871210158</v>
      </c>
      <c r="AT53" s="98">
        <v>570.0958797615963</v>
      </c>
      <c r="AU53" s="98" t="s">
        <v>972</v>
      </c>
      <c r="AV53" s="98">
        <v>414.6151852811609</v>
      </c>
      <c r="AW53" s="98">
        <v>647.836227001814</v>
      </c>
      <c r="AX53" s="98">
        <v>388.70173620108835</v>
      </c>
      <c r="AY53" s="98">
        <v>881.0572687224669</v>
      </c>
      <c r="AZ53" s="98">
        <v>310.9613889608707</v>
      </c>
      <c r="BA53" s="100" t="s">
        <v>972</v>
      </c>
      <c r="BB53" s="100" t="s">
        <v>972</v>
      </c>
      <c r="BC53" s="100" t="s">
        <v>972</v>
      </c>
      <c r="BD53" s="157">
        <v>0.9340999999999999</v>
      </c>
      <c r="BE53" s="157">
        <v>1.4499000000000002</v>
      </c>
      <c r="BF53" s="161">
        <v>451</v>
      </c>
      <c r="BG53" s="161" t="s">
        <v>972</v>
      </c>
      <c r="BH53" s="161">
        <v>1034</v>
      </c>
      <c r="BI53" s="161">
        <v>379</v>
      </c>
      <c r="BJ53" s="161">
        <v>186</v>
      </c>
      <c r="BK53" s="97"/>
      <c r="BL53" s="97"/>
      <c r="BM53" s="97"/>
      <c r="BN53" s="97"/>
    </row>
    <row r="54" spans="1:66" ht="12.75">
      <c r="A54" s="79" t="s">
        <v>313</v>
      </c>
      <c r="B54" s="79" t="s">
        <v>104</v>
      </c>
      <c r="C54" s="79" t="s">
        <v>392</v>
      </c>
      <c r="D54" s="99">
        <v>10426</v>
      </c>
      <c r="E54" s="99">
        <v>2465</v>
      </c>
      <c r="F54" s="99" t="s">
        <v>202</v>
      </c>
      <c r="G54" s="99">
        <v>73</v>
      </c>
      <c r="H54" s="99">
        <v>30</v>
      </c>
      <c r="I54" s="99">
        <v>224</v>
      </c>
      <c r="J54" s="99">
        <v>1256</v>
      </c>
      <c r="K54" s="99">
        <v>40</v>
      </c>
      <c r="L54" s="99">
        <v>1841</v>
      </c>
      <c r="M54" s="99">
        <v>1007</v>
      </c>
      <c r="N54" s="99">
        <v>501</v>
      </c>
      <c r="O54" s="99">
        <v>305</v>
      </c>
      <c r="P54" s="158">
        <v>305</v>
      </c>
      <c r="Q54" s="99">
        <v>32</v>
      </c>
      <c r="R54" s="99">
        <v>58</v>
      </c>
      <c r="S54" s="99">
        <v>64</v>
      </c>
      <c r="T54" s="99">
        <v>56</v>
      </c>
      <c r="U54" s="99">
        <v>9</v>
      </c>
      <c r="V54" s="99">
        <v>32</v>
      </c>
      <c r="W54" s="99">
        <v>65</v>
      </c>
      <c r="X54" s="99">
        <v>56</v>
      </c>
      <c r="Y54" s="99">
        <v>105</v>
      </c>
      <c r="Z54" s="99">
        <v>66</v>
      </c>
      <c r="AA54" s="99">
        <v>10</v>
      </c>
      <c r="AB54" s="99">
        <v>28</v>
      </c>
      <c r="AC54" s="99">
        <v>13</v>
      </c>
      <c r="AD54" s="98" t="s">
        <v>181</v>
      </c>
      <c r="AE54" s="100">
        <v>0.23642816036831</v>
      </c>
      <c r="AF54" s="100">
        <v>0.11</v>
      </c>
      <c r="AG54" s="98">
        <v>700.1726453098024</v>
      </c>
      <c r="AH54" s="98">
        <v>287.7421830040284</v>
      </c>
      <c r="AI54" s="100">
        <v>0.0215</v>
      </c>
      <c r="AJ54" s="100">
        <v>0.765387</v>
      </c>
      <c r="AK54" s="100">
        <v>0.588235</v>
      </c>
      <c r="AL54" s="100">
        <v>0.769327</v>
      </c>
      <c r="AM54" s="100">
        <v>0.627414</v>
      </c>
      <c r="AN54" s="100">
        <v>0.618519</v>
      </c>
      <c r="AO54" s="98">
        <v>2925.3788605409554</v>
      </c>
      <c r="AP54" s="157">
        <v>1.2048999999999999</v>
      </c>
      <c r="AQ54" s="100">
        <v>0.10491803278688525</v>
      </c>
      <c r="AR54" s="100">
        <v>0.5517241379310345</v>
      </c>
      <c r="AS54" s="98">
        <v>613.849990408594</v>
      </c>
      <c r="AT54" s="98">
        <v>537.1187416075196</v>
      </c>
      <c r="AU54" s="98">
        <v>86.32265490120852</v>
      </c>
      <c r="AV54" s="98">
        <v>306.924995204297</v>
      </c>
      <c r="AW54" s="98">
        <v>623.4413965087282</v>
      </c>
      <c r="AX54" s="98">
        <v>537.1187416075196</v>
      </c>
      <c r="AY54" s="98">
        <v>1007.0976405140993</v>
      </c>
      <c r="AZ54" s="98">
        <v>633.0328026088624</v>
      </c>
      <c r="BA54" s="101">
        <v>0.19607843137254902</v>
      </c>
      <c r="BB54" s="101">
        <v>0.5490196078431373</v>
      </c>
      <c r="BC54" s="101">
        <v>0.2549019607843137</v>
      </c>
      <c r="BD54" s="157">
        <v>1.0735</v>
      </c>
      <c r="BE54" s="157">
        <v>1.348</v>
      </c>
      <c r="BF54" s="161">
        <v>1641</v>
      </c>
      <c r="BG54" s="161">
        <v>68</v>
      </c>
      <c r="BH54" s="161">
        <v>2393</v>
      </c>
      <c r="BI54" s="161">
        <v>1605</v>
      </c>
      <c r="BJ54" s="161">
        <v>810</v>
      </c>
      <c r="BK54" s="97"/>
      <c r="BL54" s="97"/>
      <c r="BM54" s="97"/>
      <c r="BN54" s="97"/>
    </row>
    <row r="55" spans="1:66" ht="12.75">
      <c r="A55" s="79" t="s">
        <v>391</v>
      </c>
      <c r="B55" s="79" t="s">
        <v>57</v>
      </c>
      <c r="C55" s="79" t="s">
        <v>392</v>
      </c>
      <c r="D55" s="99">
        <v>12319</v>
      </c>
      <c r="E55" s="99">
        <v>3130</v>
      </c>
      <c r="F55" s="99" t="s">
        <v>201</v>
      </c>
      <c r="G55" s="99">
        <v>94</v>
      </c>
      <c r="H55" s="99">
        <v>36</v>
      </c>
      <c r="I55" s="99">
        <v>278</v>
      </c>
      <c r="J55" s="99">
        <v>1266</v>
      </c>
      <c r="K55" s="99">
        <v>32</v>
      </c>
      <c r="L55" s="99">
        <v>2205</v>
      </c>
      <c r="M55" s="99">
        <v>1072</v>
      </c>
      <c r="N55" s="99">
        <v>530</v>
      </c>
      <c r="O55" s="99">
        <v>443</v>
      </c>
      <c r="P55" s="158">
        <v>443</v>
      </c>
      <c r="Q55" s="99">
        <v>44</v>
      </c>
      <c r="R55" s="99">
        <v>75</v>
      </c>
      <c r="S55" s="99">
        <v>85</v>
      </c>
      <c r="T55" s="99">
        <v>96</v>
      </c>
      <c r="U55" s="99">
        <v>19</v>
      </c>
      <c r="V55" s="99">
        <v>67</v>
      </c>
      <c r="W55" s="99">
        <v>114</v>
      </c>
      <c r="X55" s="99">
        <v>61</v>
      </c>
      <c r="Y55" s="99">
        <v>168</v>
      </c>
      <c r="Z55" s="99">
        <v>89</v>
      </c>
      <c r="AA55" s="99">
        <v>18</v>
      </c>
      <c r="AB55" s="99">
        <v>43</v>
      </c>
      <c r="AC55" s="99">
        <v>21</v>
      </c>
      <c r="AD55" s="98" t="s">
        <v>181</v>
      </c>
      <c r="AE55" s="100">
        <v>0.25407906485916065</v>
      </c>
      <c r="AF55" s="100">
        <v>0.1</v>
      </c>
      <c r="AG55" s="98">
        <v>763.04894877831</v>
      </c>
      <c r="AH55" s="98">
        <v>292.23151229807615</v>
      </c>
      <c r="AI55" s="100">
        <v>0.0226</v>
      </c>
      <c r="AJ55" s="100">
        <v>0.702943</v>
      </c>
      <c r="AK55" s="100">
        <v>0.571429</v>
      </c>
      <c r="AL55" s="100">
        <v>0.794881</v>
      </c>
      <c r="AM55" s="100">
        <v>0.617156</v>
      </c>
      <c r="AN55" s="100">
        <v>0.616279</v>
      </c>
      <c r="AO55" s="98">
        <v>3596.0711096679925</v>
      </c>
      <c r="AP55" s="157">
        <v>1.4535</v>
      </c>
      <c r="AQ55" s="100">
        <v>0.09932279909706546</v>
      </c>
      <c r="AR55" s="100">
        <v>0.5866666666666667</v>
      </c>
      <c r="AS55" s="98">
        <v>689.9910707037909</v>
      </c>
      <c r="AT55" s="98">
        <v>779.2840327948697</v>
      </c>
      <c r="AU55" s="98">
        <v>154.23329815731796</v>
      </c>
      <c r="AV55" s="98">
        <v>543.8753145547528</v>
      </c>
      <c r="AW55" s="98">
        <v>925.3997889439078</v>
      </c>
      <c r="AX55" s="98">
        <v>495.1700625050735</v>
      </c>
      <c r="AY55" s="98">
        <v>1363.747057391022</v>
      </c>
      <c r="AZ55" s="98">
        <v>722.4612387369104</v>
      </c>
      <c r="BA55" s="100">
        <v>0.21951219512195122</v>
      </c>
      <c r="BB55" s="100">
        <v>0.524390243902439</v>
      </c>
      <c r="BC55" s="100">
        <v>0.25609756097560976</v>
      </c>
      <c r="BD55" s="157">
        <v>1.3213</v>
      </c>
      <c r="BE55" s="157">
        <v>1.5954</v>
      </c>
      <c r="BF55" s="161">
        <v>1801</v>
      </c>
      <c r="BG55" s="161">
        <v>56</v>
      </c>
      <c r="BH55" s="161">
        <v>2774</v>
      </c>
      <c r="BI55" s="161">
        <v>1737</v>
      </c>
      <c r="BJ55" s="161">
        <v>860</v>
      </c>
      <c r="BK55" s="97"/>
      <c r="BL55" s="97"/>
      <c r="BM55" s="97"/>
      <c r="BN55" s="97"/>
    </row>
    <row r="56" spans="1:66" ht="12.75">
      <c r="A56" s="79" t="s">
        <v>372</v>
      </c>
      <c r="B56" s="79" t="s">
        <v>174</v>
      </c>
      <c r="C56" s="79" t="s">
        <v>392</v>
      </c>
      <c r="D56" s="99">
        <v>2469</v>
      </c>
      <c r="E56" s="99">
        <v>213</v>
      </c>
      <c r="F56" s="99" t="s">
        <v>202</v>
      </c>
      <c r="G56" s="99">
        <v>8</v>
      </c>
      <c r="H56" s="99" t="s">
        <v>972</v>
      </c>
      <c r="I56" s="99">
        <v>30</v>
      </c>
      <c r="J56" s="99">
        <v>123</v>
      </c>
      <c r="K56" s="99" t="s">
        <v>972</v>
      </c>
      <c r="L56" s="99">
        <v>531</v>
      </c>
      <c r="M56" s="99">
        <v>92</v>
      </c>
      <c r="N56" s="99">
        <v>57</v>
      </c>
      <c r="O56" s="99">
        <v>28</v>
      </c>
      <c r="P56" s="158">
        <v>28</v>
      </c>
      <c r="Q56" s="99">
        <v>7</v>
      </c>
      <c r="R56" s="99">
        <v>12</v>
      </c>
      <c r="S56" s="99" t="s">
        <v>972</v>
      </c>
      <c r="T56" s="99" t="s">
        <v>972</v>
      </c>
      <c r="U56" s="99" t="s">
        <v>972</v>
      </c>
      <c r="V56" s="99" t="s">
        <v>972</v>
      </c>
      <c r="W56" s="99">
        <v>14</v>
      </c>
      <c r="X56" s="99" t="s">
        <v>972</v>
      </c>
      <c r="Y56" s="99" t="s">
        <v>972</v>
      </c>
      <c r="Z56" s="99">
        <v>9</v>
      </c>
      <c r="AA56" s="99" t="s">
        <v>972</v>
      </c>
      <c r="AB56" s="99" t="s">
        <v>972</v>
      </c>
      <c r="AC56" s="99" t="s">
        <v>972</v>
      </c>
      <c r="AD56" s="98" t="s">
        <v>181</v>
      </c>
      <c r="AE56" s="100">
        <v>0.08626974483596597</v>
      </c>
      <c r="AF56" s="100">
        <v>0.11</v>
      </c>
      <c r="AG56" s="98">
        <v>324.0178209801539</v>
      </c>
      <c r="AH56" s="98" t="s">
        <v>972</v>
      </c>
      <c r="AI56" s="100">
        <v>0.012199999999999999</v>
      </c>
      <c r="AJ56" s="100">
        <v>0.624365</v>
      </c>
      <c r="AK56" s="100" t="s">
        <v>972</v>
      </c>
      <c r="AL56" s="100">
        <v>0.768452</v>
      </c>
      <c r="AM56" s="100">
        <v>0.528736</v>
      </c>
      <c r="AN56" s="100">
        <v>0.553398</v>
      </c>
      <c r="AO56" s="98">
        <v>1134.0623734305386</v>
      </c>
      <c r="AP56" s="157">
        <v>0.7179000000000001</v>
      </c>
      <c r="AQ56" s="100">
        <v>0.25</v>
      </c>
      <c r="AR56" s="100">
        <v>0.5833333333333334</v>
      </c>
      <c r="AS56" s="98" t="s">
        <v>972</v>
      </c>
      <c r="AT56" s="98" t="s">
        <v>972</v>
      </c>
      <c r="AU56" s="98" t="s">
        <v>972</v>
      </c>
      <c r="AV56" s="98" t="s">
        <v>972</v>
      </c>
      <c r="AW56" s="98">
        <v>567.0311867152693</v>
      </c>
      <c r="AX56" s="98" t="s">
        <v>972</v>
      </c>
      <c r="AY56" s="98" t="s">
        <v>972</v>
      </c>
      <c r="AZ56" s="98">
        <v>364.52004860267317</v>
      </c>
      <c r="BA56" s="100" t="s">
        <v>972</v>
      </c>
      <c r="BB56" s="100" t="s">
        <v>972</v>
      </c>
      <c r="BC56" s="100" t="s">
        <v>972</v>
      </c>
      <c r="BD56" s="157">
        <v>0.47700000000000004</v>
      </c>
      <c r="BE56" s="157">
        <v>1.0375</v>
      </c>
      <c r="BF56" s="161">
        <v>197</v>
      </c>
      <c r="BG56" s="161" t="s">
        <v>972</v>
      </c>
      <c r="BH56" s="161">
        <v>691</v>
      </c>
      <c r="BI56" s="161">
        <v>174</v>
      </c>
      <c r="BJ56" s="161">
        <v>103</v>
      </c>
      <c r="BK56" s="97"/>
      <c r="BL56" s="97"/>
      <c r="BM56" s="97"/>
      <c r="BN56" s="97"/>
    </row>
    <row r="57" spans="1:66" ht="12.75">
      <c r="A57" s="79" t="s">
        <v>319</v>
      </c>
      <c r="B57" s="79" t="s">
        <v>112</v>
      </c>
      <c r="C57" s="79" t="s">
        <v>392</v>
      </c>
      <c r="D57" s="99">
        <v>7894</v>
      </c>
      <c r="E57" s="99">
        <v>1666</v>
      </c>
      <c r="F57" s="99" t="s">
        <v>201</v>
      </c>
      <c r="G57" s="99">
        <v>46</v>
      </c>
      <c r="H57" s="99">
        <v>31</v>
      </c>
      <c r="I57" s="99">
        <v>171</v>
      </c>
      <c r="J57" s="99">
        <v>755</v>
      </c>
      <c r="K57" s="99">
        <v>12</v>
      </c>
      <c r="L57" s="99">
        <v>1528</v>
      </c>
      <c r="M57" s="99">
        <v>665</v>
      </c>
      <c r="N57" s="99">
        <v>313</v>
      </c>
      <c r="O57" s="99">
        <v>196</v>
      </c>
      <c r="P57" s="158">
        <v>196</v>
      </c>
      <c r="Q57" s="99">
        <v>26</v>
      </c>
      <c r="R57" s="99">
        <v>43</v>
      </c>
      <c r="S57" s="99">
        <v>36</v>
      </c>
      <c r="T57" s="99">
        <v>27</v>
      </c>
      <c r="U57" s="99" t="s">
        <v>972</v>
      </c>
      <c r="V57" s="99">
        <v>45</v>
      </c>
      <c r="W57" s="99">
        <v>59</v>
      </c>
      <c r="X57" s="99">
        <v>34</v>
      </c>
      <c r="Y57" s="99">
        <v>96</v>
      </c>
      <c r="Z57" s="99">
        <v>57</v>
      </c>
      <c r="AA57" s="99">
        <v>13</v>
      </c>
      <c r="AB57" s="99">
        <v>27</v>
      </c>
      <c r="AC57" s="99">
        <v>19</v>
      </c>
      <c r="AD57" s="98" t="s">
        <v>181</v>
      </c>
      <c r="AE57" s="100">
        <v>0.21104636432733723</v>
      </c>
      <c r="AF57" s="100">
        <v>0.08</v>
      </c>
      <c r="AG57" s="98">
        <v>582.7210539650367</v>
      </c>
      <c r="AH57" s="98">
        <v>392.7033189764378</v>
      </c>
      <c r="AI57" s="100">
        <v>0.0217</v>
      </c>
      <c r="AJ57" s="100">
        <v>0.692661</v>
      </c>
      <c r="AK57" s="100">
        <v>0.5</v>
      </c>
      <c r="AL57" s="100">
        <v>0.796663</v>
      </c>
      <c r="AM57" s="100">
        <v>0.661034</v>
      </c>
      <c r="AN57" s="100">
        <v>0.62475</v>
      </c>
      <c r="AO57" s="98">
        <v>2482.898403851026</v>
      </c>
      <c r="AP57" s="157">
        <v>1.081</v>
      </c>
      <c r="AQ57" s="100">
        <v>0.1326530612244898</v>
      </c>
      <c r="AR57" s="100">
        <v>0.6046511627906976</v>
      </c>
      <c r="AS57" s="98">
        <v>456.0425639726374</v>
      </c>
      <c r="AT57" s="98">
        <v>342.0319229794781</v>
      </c>
      <c r="AU57" s="98" t="s">
        <v>972</v>
      </c>
      <c r="AV57" s="98">
        <v>570.0532049657968</v>
      </c>
      <c r="AW57" s="98">
        <v>747.4030909551558</v>
      </c>
      <c r="AX57" s="98">
        <v>430.7068659741576</v>
      </c>
      <c r="AY57" s="98">
        <v>1216.1135039270332</v>
      </c>
      <c r="AZ57" s="98">
        <v>722.0673929566759</v>
      </c>
      <c r="BA57" s="100">
        <v>0.22033898305084745</v>
      </c>
      <c r="BB57" s="100">
        <v>0.4576271186440678</v>
      </c>
      <c r="BC57" s="100">
        <v>0.3220338983050847</v>
      </c>
      <c r="BD57" s="157">
        <v>0.935</v>
      </c>
      <c r="BE57" s="157">
        <v>1.2434</v>
      </c>
      <c r="BF57" s="161">
        <v>1090</v>
      </c>
      <c r="BG57" s="161">
        <v>24</v>
      </c>
      <c r="BH57" s="161">
        <v>1918</v>
      </c>
      <c r="BI57" s="161">
        <v>1006</v>
      </c>
      <c r="BJ57" s="161">
        <v>501</v>
      </c>
      <c r="BK57" s="97"/>
      <c r="BL57" s="97"/>
      <c r="BM57" s="97"/>
      <c r="BN57" s="97"/>
    </row>
    <row r="58" spans="1:66" ht="12.75">
      <c r="A58" s="79" t="s">
        <v>363</v>
      </c>
      <c r="B58" s="79" t="s">
        <v>163</v>
      </c>
      <c r="C58" s="79" t="s">
        <v>392</v>
      </c>
      <c r="D58" s="99">
        <v>4205</v>
      </c>
      <c r="E58" s="99">
        <v>941</v>
      </c>
      <c r="F58" s="99" t="s">
        <v>202</v>
      </c>
      <c r="G58" s="99">
        <v>26</v>
      </c>
      <c r="H58" s="99">
        <v>11</v>
      </c>
      <c r="I58" s="99">
        <v>44</v>
      </c>
      <c r="J58" s="99">
        <v>431</v>
      </c>
      <c r="K58" s="99" t="s">
        <v>972</v>
      </c>
      <c r="L58" s="99">
        <v>788</v>
      </c>
      <c r="M58" s="99">
        <v>338</v>
      </c>
      <c r="N58" s="99">
        <v>148</v>
      </c>
      <c r="O58" s="99">
        <v>109</v>
      </c>
      <c r="P58" s="158">
        <v>109</v>
      </c>
      <c r="Q58" s="99">
        <v>15</v>
      </c>
      <c r="R58" s="99">
        <v>22</v>
      </c>
      <c r="S58" s="99">
        <v>29</v>
      </c>
      <c r="T58" s="99">
        <v>15</v>
      </c>
      <c r="U58" s="99" t="s">
        <v>972</v>
      </c>
      <c r="V58" s="99">
        <v>17</v>
      </c>
      <c r="W58" s="99">
        <v>28</v>
      </c>
      <c r="X58" s="99">
        <v>13</v>
      </c>
      <c r="Y58" s="99">
        <v>31</v>
      </c>
      <c r="Z58" s="99">
        <v>10</v>
      </c>
      <c r="AA58" s="99" t="s">
        <v>972</v>
      </c>
      <c r="AB58" s="99">
        <v>18</v>
      </c>
      <c r="AC58" s="99" t="s">
        <v>972</v>
      </c>
      <c r="AD58" s="98" t="s">
        <v>181</v>
      </c>
      <c r="AE58" s="100">
        <v>0.22378121284185493</v>
      </c>
      <c r="AF58" s="100">
        <v>0.12</v>
      </c>
      <c r="AG58" s="98">
        <v>618.3115338882283</v>
      </c>
      <c r="AH58" s="98">
        <v>261.59334126040426</v>
      </c>
      <c r="AI58" s="100">
        <v>0.0105</v>
      </c>
      <c r="AJ58" s="100">
        <v>0.690705</v>
      </c>
      <c r="AK58" s="100" t="s">
        <v>972</v>
      </c>
      <c r="AL58" s="100">
        <v>0.744802</v>
      </c>
      <c r="AM58" s="100">
        <v>0.601423</v>
      </c>
      <c r="AN58" s="100">
        <v>0.550186</v>
      </c>
      <c r="AO58" s="98">
        <v>2592.152199762188</v>
      </c>
      <c r="AP58" s="157">
        <v>1.1083</v>
      </c>
      <c r="AQ58" s="100">
        <v>0.13761467889908258</v>
      </c>
      <c r="AR58" s="100">
        <v>0.6818181818181818</v>
      </c>
      <c r="AS58" s="98">
        <v>689.6551724137931</v>
      </c>
      <c r="AT58" s="98">
        <v>356.718192627824</v>
      </c>
      <c r="AU58" s="98" t="s">
        <v>972</v>
      </c>
      <c r="AV58" s="98">
        <v>404.2806183115339</v>
      </c>
      <c r="AW58" s="98">
        <v>665.8739595719381</v>
      </c>
      <c r="AX58" s="98">
        <v>309.15576694411413</v>
      </c>
      <c r="AY58" s="98">
        <v>737.217598097503</v>
      </c>
      <c r="AZ58" s="98">
        <v>237.81212841854935</v>
      </c>
      <c r="BA58" s="101" t="s">
        <v>972</v>
      </c>
      <c r="BB58" s="101">
        <v>0.5625</v>
      </c>
      <c r="BC58" s="101" t="s">
        <v>972</v>
      </c>
      <c r="BD58" s="157">
        <v>0.9101</v>
      </c>
      <c r="BE58" s="157">
        <v>1.337</v>
      </c>
      <c r="BF58" s="161">
        <v>624</v>
      </c>
      <c r="BG58" s="161" t="s">
        <v>972</v>
      </c>
      <c r="BH58" s="161">
        <v>1058</v>
      </c>
      <c r="BI58" s="161">
        <v>562</v>
      </c>
      <c r="BJ58" s="161">
        <v>269</v>
      </c>
      <c r="BK58" s="97"/>
      <c r="BL58" s="97"/>
      <c r="BM58" s="97"/>
      <c r="BN58" s="97"/>
    </row>
    <row r="59" spans="1:66" ht="12.75">
      <c r="A59" s="79" t="s">
        <v>334</v>
      </c>
      <c r="B59" s="79" t="s">
        <v>130</v>
      </c>
      <c r="C59" s="79" t="s">
        <v>392</v>
      </c>
      <c r="D59" s="99">
        <v>11674</v>
      </c>
      <c r="E59" s="99">
        <v>1908</v>
      </c>
      <c r="F59" s="99" t="s">
        <v>203</v>
      </c>
      <c r="G59" s="99">
        <v>62</v>
      </c>
      <c r="H59" s="99">
        <v>21</v>
      </c>
      <c r="I59" s="99">
        <v>183</v>
      </c>
      <c r="J59" s="99">
        <v>1287</v>
      </c>
      <c r="K59" s="99">
        <v>27</v>
      </c>
      <c r="L59" s="99">
        <v>2290</v>
      </c>
      <c r="M59" s="99">
        <v>963</v>
      </c>
      <c r="N59" s="99">
        <v>496</v>
      </c>
      <c r="O59" s="99">
        <v>260</v>
      </c>
      <c r="P59" s="158">
        <v>260</v>
      </c>
      <c r="Q59" s="99">
        <v>34</v>
      </c>
      <c r="R59" s="99">
        <v>60</v>
      </c>
      <c r="S59" s="99">
        <v>49</v>
      </c>
      <c r="T59" s="99">
        <v>51</v>
      </c>
      <c r="U59" s="99" t="s">
        <v>972</v>
      </c>
      <c r="V59" s="99">
        <v>40</v>
      </c>
      <c r="W59" s="99">
        <v>79</v>
      </c>
      <c r="X59" s="99">
        <v>10</v>
      </c>
      <c r="Y59" s="99">
        <v>59</v>
      </c>
      <c r="Z59" s="99">
        <v>39</v>
      </c>
      <c r="AA59" s="99">
        <v>13</v>
      </c>
      <c r="AB59" s="99">
        <v>25</v>
      </c>
      <c r="AC59" s="99">
        <v>6</v>
      </c>
      <c r="AD59" s="98" t="s">
        <v>181</v>
      </c>
      <c r="AE59" s="100">
        <v>0.1634401233510365</v>
      </c>
      <c r="AF59" s="100">
        <v>0.08</v>
      </c>
      <c r="AG59" s="98">
        <v>531.0947404488608</v>
      </c>
      <c r="AH59" s="98">
        <v>179.8869282165496</v>
      </c>
      <c r="AI59" s="100">
        <v>0.015700000000000002</v>
      </c>
      <c r="AJ59" s="100">
        <v>0.795426</v>
      </c>
      <c r="AK59" s="100">
        <v>0.794118</v>
      </c>
      <c r="AL59" s="100">
        <v>0.791019</v>
      </c>
      <c r="AM59" s="100">
        <v>0.649798</v>
      </c>
      <c r="AN59" s="100">
        <v>0.645833</v>
      </c>
      <c r="AO59" s="98">
        <v>2227.1714922048996</v>
      </c>
      <c r="AP59" s="157">
        <v>1.0827</v>
      </c>
      <c r="AQ59" s="100">
        <v>0.13076923076923078</v>
      </c>
      <c r="AR59" s="100">
        <v>0.5666666666666667</v>
      </c>
      <c r="AS59" s="98">
        <v>419.7361658386157</v>
      </c>
      <c r="AT59" s="98">
        <v>436.8682542401919</v>
      </c>
      <c r="AU59" s="98" t="s">
        <v>972</v>
      </c>
      <c r="AV59" s="98">
        <v>342.64176803152304</v>
      </c>
      <c r="AW59" s="98">
        <v>676.717491862258</v>
      </c>
      <c r="AX59" s="98">
        <v>85.66044200788076</v>
      </c>
      <c r="AY59" s="98">
        <v>505.39660784649647</v>
      </c>
      <c r="AZ59" s="98">
        <v>334.07572383073494</v>
      </c>
      <c r="BA59" s="100">
        <v>0.29545454545454547</v>
      </c>
      <c r="BB59" s="100">
        <v>0.5681818181818182</v>
      </c>
      <c r="BC59" s="100">
        <v>0.13636363636363635</v>
      </c>
      <c r="BD59" s="157">
        <v>0.955</v>
      </c>
      <c r="BE59" s="157">
        <v>1.2226000000000001</v>
      </c>
      <c r="BF59" s="161">
        <v>1618</v>
      </c>
      <c r="BG59" s="161">
        <v>34</v>
      </c>
      <c r="BH59" s="161">
        <v>2895</v>
      </c>
      <c r="BI59" s="161">
        <v>1482</v>
      </c>
      <c r="BJ59" s="161">
        <v>768</v>
      </c>
      <c r="BK59" s="97"/>
      <c r="BL59" s="97"/>
      <c r="BM59" s="97"/>
      <c r="BN59" s="97"/>
    </row>
    <row r="60" spans="1:66" ht="12.75">
      <c r="A60" s="79" t="s">
        <v>328</v>
      </c>
      <c r="B60" s="79" t="s">
        <v>122</v>
      </c>
      <c r="C60" s="79" t="s">
        <v>392</v>
      </c>
      <c r="D60" s="99">
        <v>11615</v>
      </c>
      <c r="E60" s="99">
        <v>2182</v>
      </c>
      <c r="F60" s="99" t="s">
        <v>201</v>
      </c>
      <c r="G60" s="99">
        <v>65</v>
      </c>
      <c r="H60" s="99">
        <v>33</v>
      </c>
      <c r="I60" s="99">
        <v>301</v>
      </c>
      <c r="J60" s="99">
        <v>1177</v>
      </c>
      <c r="K60" s="99">
        <v>1074</v>
      </c>
      <c r="L60" s="99">
        <v>2183</v>
      </c>
      <c r="M60" s="99">
        <v>836</v>
      </c>
      <c r="N60" s="99">
        <v>447</v>
      </c>
      <c r="O60" s="99">
        <v>397</v>
      </c>
      <c r="P60" s="158">
        <v>397</v>
      </c>
      <c r="Q60" s="99">
        <v>43</v>
      </c>
      <c r="R60" s="99">
        <v>80</v>
      </c>
      <c r="S60" s="99">
        <v>54</v>
      </c>
      <c r="T60" s="99">
        <v>69</v>
      </c>
      <c r="U60" s="99">
        <v>11</v>
      </c>
      <c r="V60" s="99">
        <v>107</v>
      </c>
      <c r="W60" s="99">
        <v>120</v>
      </c>
      <c r="X60" s="99">
        <v>27</v>
      </c>
      <c r="Y60" s="99">
        <v>99</v>
      </c>
      <c r="Z60" s="99">
        <v>72</v>
      </c>
      <c r="AA60" s="99">
        <v>12</v>
      </c>
      <c r="AB60" s="99">
        <v>40</v>
      </c>
      <c r="AC60" s="99">
        <v>12</v>
      </c>
      <c r="AD60" s="98" t="s">
        <v>181</v>
      </c>
      <c r="AE60" s="100">
        <v>0.18786052518295307</v>
      </c>
      <c r="AF60" s="100">
        <v>0.11</v>
      </c>
      <c r="AG60" s="98">
        <v>559.6211795092553</v>
      </c>
      <c r="AH60" s="98">
        <v>284.11536805854496</v>
      </c>
      <c r="AI60" s="100">
        <v>0.0259</v>
      </c>
      <c r="AJ60" s="100">
        <v>0.845546</v>
      </c>
      <c r="AK60" s="100">
        <v>0.804494</v>
      </c>
      <c r="AL60" s="100">
        <v>0.759833</v>
      </c>
      <c r="AM60" s="100">
        <v>0.679123</v>
      </c>
      <c r="AN60" s="100">
        <v>0.66419</v>
      </c>
      <c r="AO60" s="98">
        <v>3417.9939733103747</v>
      </c>
      <c r="AP60" s="157">
        <v>1.6322999999999999</v>
      </c>
      <c r="AQ60" s="100">
        <v>0.10831234256926953</v>
      </c>
      <c r="AR60" s="100">
        <v>0.5375</v>
      </c>
      <c r="AS60" s="98">
        <v>464.91605682307363</v>
      </c>
      <c r="AT60" s="98">
        <v>594.059405940594</v>
      </c>
      <c r="AU60" s="98">
        <v>94.70512268618167</v>
      </c>
      <c r="AV60" s="98">
        <v>921.2225570383125</v>
      </c>
      <c r="AW60" s="98">
        <v>1033.1467929401636</v>
      </c>
      <c r="AX60" s="98">
        <v>232.45802841153682</v>
      </c>
      <c r="AY60" s="98">
        <v>852.346104175635</v>
      </c>
      <c r="AZ60" s="98">
        <v>619.8880757640982</v>
      </c>
      <c r="BA60" s="100">
        <v>0.1875</v>
      </c>
      <c r="BB60" s="100">
        <v>0.625</v>
      </c>
      <c r="BC60" s="100">
        <v>0.1875</v>
      </c>
      <c r="BD60" s="157">
        <v>1.4757</v>
      </c>
      <c r="BE60" s="157">
        <v>1.801</v>
      </c>
      <c r="BF60" s="161">
        <v>1392</v>
      </c>
      <c r="BG60" s="161">
        <v>1335</v>
      </c>
      <c r="BH60" s="161">
        <v>2873</v>
      </c>
      <c r="BI60" s="161">
        <v>1231</v>
      </c>
      <c r="BJ60" s="161">
        <v>673</v>
      </c>
      <c r="BK60" s="97"/>
      <c r="BL60" s="97"/>
      <c r="BM60" s="97"/>
      <c r="BN60" s="97"/>
    </row>
    <row r="61" spans="1:66" ht="12.75">
      <c r="A61" s="79" t="s">
        <v>355</v>
      </c>
      <c r="B61" s="79" t="s">
        <v>154</v>
      </c>
      <c r="C61" s="79" t="s">
        <v>392</v>
      </c>
      <c r="D61" s="99">
        <v>2286</v>
      </c>
      <c r="E61" s="99">
        <v>352</v>
      </c>
      <c r="F61" s="99" t="s">
        <v>202</v>
      </c>
      <c r="G61" s="99">
        <v>15</v>
      </c>
      <c r="H61" s="99">
        <v>6</v>
      </c>
      <c r="I61" s="99">
        <v>57</v>
      </c>
      <c r="J61" s="99">
        <v>305</v>
      </c>
      <c r="K61" s="99" t="s">
        <v>972</v>
      </c>
      <c r="L61" s="99">
        <v>476</v>
      </c>
      <c r="M61" s="99">
        <v>191</v>
      </c>
      <c r="N61" s="99">
        <v>101</v>
      </c>
      <c r="O61" s="99">
        <v>54</v>
      </c>
      <c r="P61" s="158">
        <v>54</v>
      </c>
      <c r="Q61" s="99">
        <v>6</v>
      </c>
      <c r="R61" s="99">
        <v>23</v>
      </c>
      <c r="S61" s="99" t="s">
        <v>972</v>
      </c>
      <c r="T61" s="99" t="s">
        <v>972</v>
      </c>
      <c r="U61" s="99" t="s">
        <v>972</v>
      </c>
      <c r="V61" s="99">
        <v>8</v>
      </c>
      <c r="W61" s="99">
        <v>30</v>
      </c>
      <c r="X61" s="99" t="s">
        <v>972</v>
      </c>
      <c r="Y61" s="99">
        <v>12</v>
      </c>
      <c r="Z61" s="99">
        <v>12</v>
      </c>
      <c r="AA61" s="99" t="s">
        <v>972</v>
      </c>
      <c r="AB61" s="99" t="s">
        <v>972</v>
      </c>
      <c r="AC61" s="99" t="s">
        <v>972</v>
      </c>
      <c r="AD61" s="98" t="s">
        <v>181</v>
      </c>
      <c r="AE61" s="100">
        <v>0.15398075240594924</v>
      </c>
      <c r="AF61" s="100">
        <v>0.14</v>
      </c>
      <c r="AG61" s="98">
        <v>656.1679790026246</v>
      </c>
      <c r="AH61" s="98">
        <v>262.4671916010499</v>
      </c>
      <c r="AI61" s="100">
        <v>0.024900000000000002</v>
      </c>
      <c r="AJ61" s="100">
        <v>0.800525</v>
      </c>
      <c r="AK61" s="100" t="s">
        <v>972</v>
      </c>
      <c r="AL61" s="100">
        <v>0.794658</v>
      </c>
      <c r="AM61" s="100">
        <v>0.577039</v>
      </c>
      <c r="AN61" s="100">
        <v>0.60119</v>
      </c>
      <c r="AO61" s="98">
        <v>2362.2047244094488</v>
      </c>
      <c r="AP61" s="157">
        <v>1.139</v>
      </c>
      <c r="AQ61" s="100">
        <v>0.1111111111111111</v>
      </c>
      <c r="AR61" s="100">
        <v>0.2608695652173913</v>
      </c>
      <c r="AS61" s="98" t="s">
        <v>972</v>
      </c>
      <c r="AT61" s="98" t="s">
        <v>972</v>
      </c>
      <c r="AU61" s="98" t="s">
        <v>972</v>
      </c>
      <c r="AV61" s="98">
        <v>349.9562554680665</v>
      </c>
      <c r="AW61" s="98">
        <v>1312.3359580052493</v>
      </c>
      <c r="AX61" s="98" t="s">
        <v>972</v>
      </c>
      <c r="AY61" s="98">
        <v>524.9343832020998</v>
      </c>
      <c r="AZ61" s="98">
        <v>524.9343832020998</v>
      </c>
      <c r="BA61" s="101" t="s">
        <v>972</v>
      </c>
      <c r="BB61" s="101" t="s">
        <v>972</v>
      </c>
      <c r="BC61" s="101" t="s">
        <v>972</v>
      </c>
      <c r="BD61" s="157">
        <v>0.8556999999999999</v>
      </c>
      <c r="BE61" s="157">
        <v>1.4862</v>
      </c>
      <c r="BF61" s="161">
        <v>381</v>
      </c>
      <c r="BG61" s="161" t="s">
        <v>972</v>
      </c>
      <c r="BH61" s="161">
        <v>599</v>
      </c>
      <c r="BI61" s="161">
        <v>331</v>
      </c>
      <c r="BJ61" s="161">
        <v>168</v>
      </c>
      <c r="BK61" s="97"/>
      <c r="BL61" s="97"/>
      <c r="BM61" s="97"/>
      <c r="BN61" s="97"/>
    </row>
    <row r="62" spans="1:66" ht="12.75">
      <c r="A62" s="79" t="s">
        <v>357</v>
      </c>
      <c r="B62" s="79" t="s">
        <v>157</v>
      </c>
      <c r="C62" s="79" t="s">
        <v>392</v>
      </c>
      <c r="D62" s="99">
        <v>3217</v>
      </c>
      <c r="E62" s="99">
        <v>752</v>
      </c>
      <c r="F62" s="99" t="s">
        <v>201</v>
      </c>
      <c r="G62" s="99">
        <v>23</v>
      </c>
      <c r="H62" s="99">
        <v>9</v>
      </c>
      <c r="I62" s="99">
        <v>77</v>
      </c>
      <c r="J62" s="99">
        <v>408</v>
      </c>
      <c r="K62" s="99" t="s">
        <v>972</v>
      </c>
      <c r="L62" s="99">
        <v>584</v>
      </c>
      <c r="M62" s="99">
        <v>350</v>
      </c>
      <c r="N62" s="99">
        <v>175</v>
      </c>
      <c r="O62" s="99">
        <v>50</v>
      </c>
      <c r="P62" s="158">
        <v>50</v>
      </c>
      <c r="Q62" s="99">
        <v>12</v>
      </c>
      <c r="R62" s="99">
        <v>17</v>
      </c>
      <c r="S62" s="99">
        <v>6</v>
      </c>
      <c r="T62" s="99" t="s">
        <v>972</v>
      </c>
      <c r="U62" s="99" t="s">
        <v>972</v>
      </c>
      <c r="V62" s="99">
        <v>9</v>
      </c>
      <c r="W62" s="99">
        <v>26</v>
      </c>
      <c r="X62" s="99" t="s">
        <v>972</v>
      </c>
      <c r="Y62" s="99">
        <v>18</v>
      </c>
      <c r="Z62" s="99">
        <v>18</v>
      </c>
      <c r="AA62" s="99" t="s">
        <v>972</v>
      </c>
      <c r="AB62" s="99">
        <v>11</v>
      </c>
      <c r="AC62" s="99" t="s">
        <v>972</v>
      </c>
      <c r="AD62" s="98" t="s">
        <v>181</v>
      </c>
      <c r="AE62" s="100">
        <v>0.233758159776189</v>
      </c>
      <c r="AF62" s="100">
        <v>0.11</v>
      </c>
      <c r="AG62" s="98">
        <v>714.9518184644078</v>
      </c>
      <c r="AH62" s="98">
        <v>279.76375505129005</v>
      </c>
      <c r="AI62" s="100">
        <v>0.0239</v>
      </c>
      <c r="AJ62" s="100">
        <v>0.761194</v>
      </c>
      <c r="AK62" s="100" t="s">
        <v>972</v>
      </c>
      <c r="AL62" s="100">
        <v>0.786003</v>
      </c>
      <c r="AM62" s="100">
        <v>0.643382</v>
      </c>
      <c r="AN62" s="100">
        <v>0.650558</v>
      </c>
      <c r="AO62" s="98">
        <v>1554.243083618278</v>
      </c>
      <c r="AP62" s="157">
        <v>0.6325999999999999</v>
      </c>
      <c r="AQ62" s="100">
        <v>0.24</v>
      </c>
      <c r="AR62" s="100">
        <v>0.7058823529411765</v>
      </c>
      <c r="AS62" s="98">
        <v>186.50917003419335</v>
      </c>
      <c r="AT62" s="98" t="s">
        <v>972</v>
      </c>
      <c r="AU62" s="98" t="s">
        <v>972</v>
      </c>
      <c r="AV62" s="98">
        <v>279.76375505129005</v>
      </c>
      <c r="AW62" s="98">
        <v>808.2064034815045</v>
      </c>
      <c r="AX62" s="98" t="s">
        <v>972</v>
      </c>
      <c r="AY62" s="98">
        <v>559.5275101025801</v>
      </c>
      <c r="AZ62" s="98">
        <v>559.5275101025801</v>
      </c>
      <c r="BA62" s="100" t="s">
        <v>972</v>
      </c>
      <c r="BB62" s="100">
        <v>0.5789473684210527</v>
      </c>
      <c r="BC62" s="100" t="s">
        <v>972</v>
      </c>
      <c r="BD62" s="157">
        <v>0.46950000000000003</v>
      </c>
      <c r="BE62" s="157">
        <v>0.8340000000000001</v>
      </c>
      <c r="BF62" s="161">
        <v>536</v>
      </c>
      <c r="BG62" s="161" t="s">
        <v>972</v>
      </c>
      <c r="BH62" s="161">
        <v>743</v>
      </c>
      <c r="BI62" s="161">
        <v>544</v>
      </c>
      <c r="BJ62" s="161">
        <v>269</v>
      </c>
      <c r="BK62" s="97"/>
      <c r="BL62" s="97"/>
      <c r="BM62" s="97"/>
      <c r="BN62" s="97"/>
    </row>
    <row r="63" spans="1:66" ht="12.75">
      <c r="A63" s="79" t="s">
        <v>410</v>
      </c>
      <c r="B63" s="79" t="s">
        <v>155</v>
      </c>
      <c r="C63" s="79" t="s">
        <v>392</v>
      </c>
      <c r="D63" s="99">
        <v>9693</v>
      </c>
      <c r="E63" s="99">
        <v>1130</v>
      </c>
      <c r="F63" s="99" t="s">
        <v>201</v>
      </c>
      <c r="G63" s="99">
        <v>32</v>
      </c>
      <c r="H63" s="99">
        <v>14</v>
      </c>
      <c r="I63" s="99">
        <v>135</v>
      </c>
      <c r="J63" s="99">
        <v>770</v>
      </c>
      <c r="K63" s="99">
        <v>10</v>
      </c>
      <c r="L63" s="99">
        <v>1782</v>
      </c>
      <c r="M63" s="99">
        <v>548</v>
      </c>
      <c r="N63" s="99">
        <v>280</v>
      </c>
      <c r="O63" s="99">
        <v>229</v>
      </c>
      <c r="P63" s="158">
        <v>229</v>
      </c>
      <c r="Q63" s="99">
        <v>21</v>
      </c>
      <c r="R63" s="99">
        <v>44</v>
      </c>
      <c r="S63" s="99">
        <v>45</v>
      </c>
      <c r="T63" s="99">
        <v>33</v>
      </c>
      <c r="U63" s="99">
        <v>6</v>
      </c>
      <c r="V63" s="99">
        <v>54</v>
      </c>
      <c r="W63" s="99">
        <v>61</v>
      </c>
      <c r="X63" s="99">
        <v>12</v>
      </c>
      <c r="Y63" s="99">
        <v>52</v>
      </c>
      <c r="Z63" s="99">
        <v>53</v>
      </c>
      <c r="AA63" s="99">
        <v>10</v>
      </c>
      <c r="AB63" s="99">
        <v>22</v>
      </c>
      <c r="AC63" s="99">
        <v>9</v>
      </c>
      <c r="AD63" s="98" t="s">
        <v>181</v>
      </c>
      <c r="AE63" s="100">
        <v>0.11657897451769318</v>
      </c>
      <c r="AF63" s="100">
        <v>0.1</v>
      </c>
      <c r="AG63" s="98">
        <v>330.13514907665325</v>
      </c>
      <c r="AH63" s="98">
        <v>144.4341277210358</v>
      </c>
      <c r="AI63" s="100">
        <v>0.0139</v>
      </c>
      <c r="AJ63" s="100">
        <v>0.741097</v>
      </c>
      <c r="AK63" s="100">
        <v>0.666667</v>
      </c>
      <c r="AL63" s="100">
        <v>0.735149</v>
      </c>
      <c r="AM63" s="100">
        <v>0.595005</v>
      </c>
      <c r="AN63" s="100">
        <v>0.569106</v>
      </c>
      <c r="AO63" s="98">
        <v>2362.5296605798</v>
      </c>
      <c r="AP63" s="157">
        <v>1.3336000000000001</v>
      </c>
      <c r="AQ63" s="100">
        <v>0.09170305676855896</v>
      </c>
      <c r="AR63" s="100">
        <v>0.4772727272727273</v>
      </c>
      <c r="AS63" s="98">
        <v>464.2525533890436</v>
      </c>
      <c r="AT63" s="98">
        <v>340.4518724852987</v>
      </c>
      <c r="AU63" s="98">
        <v>61.90034045187249</v>
      </c>
      <c r="AV63" s="98">
        <v>557.1030640668523</v>
      </c>
      <c r="AW63" s="98">
        <v>629.3201279273703</v>
      </c>
      <c r="AX63" s="98">
        <v>123.80068090374498</v>
      </c>
      <c r="AY63" s="98">
        <v>536.4696172495616</v>
      </c>
      <c r="AZ63" s="98">
        <v>546.786340658207</v>
      </c>
      <c r="BA63" s="100">
        <v>0.24390243902439024</v>
      </c>
      <c r="BB63" s="100">
        <v>0.5365853658536586</v>
      </c>
      <c r="BC63" s="100">
        <v>0.21951219512195122</v>
      </c>
      <c r="BD63" s="157">
        <v>1.1665</v>
      </c>
      <c r="BE63" s="157">
        <v>1.518</v>
      </c>
      <c r="BF63" s="161">
        <v>1039</v>
      </c>
      <c r="BG63" s="161">
        <v>15</v>
      </c>
      <c r="BH63" s="161">
        <v>2424</v>
      </c>
      <c r="BI63" s="161">
        <v>921</v>
      </c>
      <c r="BJ63" s="161">
        <v>492</v>
      </c>
      <c r="BK63" s="97"/>
      <c r="BL63" s="97"/>
      <c r="BM63" s="97"/>
      <c r="BN63" s="97"/>
    </row>
    <row r="64" spans="1:66" ht="12.75">
      <c r="A64" s="79" t="s">
        <v>291</v>
      </c>
      <c r="B64" s="79" t="s">
        <v>78</v>
      </c>
      <c r="C64" s="79" t="s">
        <v>392</v>
      </c>
      <c r="D64" s="99">
        <v>15005</v>
      </c>
      <c r="E64" s="99">
        <v>2973</v>
      </c>
      <c r="F64" s="99" t="s">
        <v>202</v>
      </c>
      <c r="G64" s="99">
        <v>83</v>
      </c>
      <c r="H64" s="99">
        <v>52</v>
      </c>
      <c r="I64" s="99">
        <v>339</v>
      </c>
      <c r="J64" s="99">
        <v>1623</v>
      </c>
      <c r="K64" s="99">
        <v>18</v>
      </c>
      <c r="L64" s="99">
        <v>2810</v>
      </c>
      <c r="M64" s="99">
        <v>1248</v>
      </c>
      <c r="N64" s="99">
        <v>611</v>
      </c>
      <c r="O64" s="99">
        <v>357</v>
      </c>
      <c r="P64" s="158">
        <v>357</v>
      </c>
      <c r="Q64" s="99">
        <v>39</v>
      </c>
      <c r="R64" s="99">
        <v>78</v>
      </c>
      <c r="S64" s="99">
        <v>95</v>
      </c>
      <c r="T64" s="99">
        <v>83</v>
      </c>
      <c r="U64" s="99">
        <v>9</v>
      </c>
      <c r="V64" s="99">
        <v>19</v>
      </c>
      <c r="W64" s="99">
        <v>91</v>
      </c>
      <c r="X64" s="99">
        <v>84</v>
      </c>
      <c r="Y64" s="99">
        <v>133</v>
      </c>
      <c r="Z64" s="99">
        <v>105</v>
      </c>
      <c r="AA64" s="99">
        <v>21</v>
      </c>
      <c r="AB64" s="99">
        <v>44</v>
      </c>
      <c r="AC64" s="99">
        <v>24</v>
      </c>
      <c r="AD64" s="98" t="s">
        <v>181</v>
      </c>
      <c r="AE64" s="100">
        <v>0.19813395534821726</v>
      </c>
      <c r="AF64" s="100">
        <v>0.13</v>
      </c>
      <c r="AG64" s="98">
        <v>553.1489503498834</v>
      </c>
      <c r="AH64" s="98">
        <v>346.5511496167944</v>
      </c>
      <c r="AI64" s="100">
        <v>0.0226</v>
      </c>
      <c r="AJ64" s="100">
        <v>0.764844</v>
      </c>
      <c r="AK64" s="100">
        <v>0.666667</v>
      </c>
      <c r="AL64" s="100">
        <v>0.804696</v>
      </c>
      <c r="AM64" s="100">
        <v>0.616906</v>
      </c>
      <c r="AN64" s="100">
        <v>0.608566</v>
      </c>
      <c r="AO64" s="98">
        <v>2379.206931022992</v>
      </c>
      <c r="AP64" s="157">
        <v>1.0748</v>
      </c>
      <c r="AQ64" s="100">
        <v>0.1092436974789916</v>
      </c>
      <c r="AR64" s="100">
        <v>0.5</v>
      </c>
      <c r="AS64" s="98">
        <v>633.1222925691436</v>
      </c>
      <c r="AT64" s="98">
        <v>553.1489503498834</v>
      </c>
      <c r="AU64" s="98">
        <v>59.980006664445185</v>
      </c>
      <c r="AV64" s="98">
        <v>126.62445851382873</v>
      </c>
      <c r="AW64" s="98">
        <v>606.4645118293902</v>
      </c>
      <c r="AX64" s="98">
        <v>559.8133955348218</v>
      </c>
      <c r="AY64" s="98">
        <v>886.3712095968011</v>
      </c>
      <c r="AZ64" s="98">
        <v>699.7667444185272</v>
      </c>
      <c r="BA64" s="100">
        <v>0.23595505617977527</v>
      </c>
      <c r="BB64" s="100">
        <v>0.4943820224719101</v>
      </c>
      <c r="BC64" s="100">
        <v>0.2696629213483146</v>
      </c>
      <c r="BD64" s="157">
        <v>0.9662000000000001</v>
      </c>
      <c r="BE64" s="157">
        <v>1.1923000000000001</v>
      </c>
      <c r="BF64" s="161">
        <v>2122</v>
      </c>
      <c r="BG64" s="161">
        <v>27</v>
      </c>
      <c r="BH64" s="161">
        <v>3492</v>
      </c>
      <c r="BI64" s="161">
        <v>2023</v>
      </c>
      <c r="BJ64" s="161">
        <v>1004</v>
      </c>
      <c r="BK64" s="97"/>
      <c r="BL64" s="97"/>
      <c r="BM64" s="97"/>
      <c r="BN64" s="97"/>
    </row>
    <row r="65" spans="1:66" ht="12.75">
      <c r="A65" s="79" t="s">
        <v>312</v>
      </c>
      <c r="B65" s="79" t="s">
        <v>103</v>
      </c>
      <c r="C65" s="79" t="s">
        <v>392</v>
      </c>
      <c r="D65" s="99">
        <v>2673</v>
      </c>
      <c r="E65" s="99">
        <v>648</v>
      </c>
      <c r="F65" s="99" t="s">
        <v>201</v>
      </c>
      <c r="G65" s="99">
        <v>15</v>
      </c>
      <c r="H65" s="99">
        <v>9</v>
      </c>
      <c r="I65" s="99">
        <v>80</v>
      </c>
      <c r="J65" s="99">
        <v>314</v>
      </c>
      <c r="K65" s="99" t="s">
        <v>972</v>
      </c>
      <c r="L65" s="99">
        <v>472</v>
      </c>
      <c r="M65" s="99">
        <v>251</v>
      </c>
      <c r="N65" s="99">
        <v>120</v>
      </c>
      <c r="O65" s="99">
        <v>72</v>
      </c>
      <c r="P65" s="158">
        <v>72</v>
      </c>
      <c r="Q65" s="99">
        <v>10</v>
      </c>
      <c r="R65" s="99">
        <v>22</v>
      </c>
      <c r="S65" s="99">
        <v>17</v>
      </c>
      <c r="T65" s="99">
        <v>10</v>
      </c>
      <c r="U65" s="99" t="s">
        <v>972</v>
      </c>
      <c r="V65" s="99">
        <v>10</v>
      </c>
      <c r="W65" s="99">
        <v>12</v>
      </c>
      <c r="X65" s="99">
        <v>16</v>
      </c>
      <c r="Y65" s="99">
        <v>26</v>
      </c>
      <c r="Z65" s="99">
        <v>21</v>
      </c>
      <c r="AA65" s="99" t="s">
        <v>972</v>
      </c>
      <c r="AB65" s="99">
        <v>11</v>
      </c>
      <c r="AC65" s="99" t="s">
        <v>972</v>
      </c>
      <c r="AD65" s="98" t="s">
        <v>181</v>
      </c>
      <c r="AE65" s="100">
        <v>0.24242424242424243</v>
      </c>
      <c r="AF65" s="100">
        <v>0.11</v>
      </c>
      <c r="AG65" s="98">
        <v>561.1672278338945</v>
      </c>
      <c r="AH65" s="98">
        <v>336.7003367003367</v>
      </c>
      <c r="AI65" s="100">
        <v>0.029900000000000003</v>
      </c>
      <c r="AJ65" s="100">
        <v>0.69011</v>
      </c>
      <c r="AK65" s="100" t="s">
        <v>972</v>
      </c>
      <c r="AL65" s="100">
        <v>0.718417</v>
      </c>
      <c r="AM65" s="100">
        <v>0.581019</v>
      </c>
      <c r="AN65" s="100">
        <v>0.597015</v>
      </c>
      <c r="AO65" s="98">
        <v>2693.6026936026938</v>
      </c>
      <c r="AP65" s="157">
        <v>1.0771</v>
      </c>
      <c r="AQ65" s="100">
        <v>0.1388888888888889</v>
      </c>
      <c r="AR65" s="100">
        <v>0.45454545454545453</v>
      </c>
      <c r="AS65" s="98">
        <v>635.9895248784138</v>
      </c>
      <c r="AT65" s="98">
        <v>374.11148522259634</v>
      </c>
      <c r="AU65" s="98" t="s">
        <v>972</v>
      </c>
      <c r="AV65" s="98">
        <v>374.11148522259634</v>
      </c>
      <c r="AW65" s="98">
        <v>448.9337822671156</v>
      </c>
      <c r="AX65" s="98">
        <v>598.5783763561541</v>
      </c>
      <c r="AY65" s="98">
        <v>972.6898615787504</v>
      </c>
      <c r="AZ65" s="98">
        <v>785.6341189674523</v>
      </c>
      <c r="BA65" s="100" t="s">
        <v>972</v>
      </c>
      <c r="BB65" s="100">
        <v>0.5</v>
      </c>
      <c r="BC65" s="100" t="s">
        <v>972</v>
      </c>
      <c r="BD65" s="157">
        <v>0.8427</v>
      </c>
      <c r="BE65" s="157">
        <v>1.3563999999999998</v>
      </c>
      <c r="BF65" s="161">
        <v>455</v>
      </c>
      <c r="BG65" s="161" t="s">
        <v>972</v>
      </c>
      <c r="BH65" s="161">
        <v>657</v>
      </c>
      <c r="BI65" s="161">
        <v>432</v>
      </c>
      <c r="BJ65" s="161">
        <v>201</v>
      </c>
      <c r="BK65" s="97"/>
      <c r="BL65" s="97"/>
      <c r="BM65" s="97"/>
      <c r="BN65" s="97"/>
    </row>
    <row r="66" spans="1:66" ht="12.75">
      <c r="A66" s="79" t="s">
        <v>360</v>
      </c>
      <c r="B66" s="79" t="s">
        <v>160</v>
      </c>
      <c r="C66" s="79" t="s">
        <v>392</v>
      </c>
      <c r="D66" s="99">
        <v>6413</v>
      </c>
      <c r="E66" s="99">
        <v>892</v>
      </c>
      <c r="F66" s="99" t="s">
        <v>200</v>
      </c>
      <c r="G66" s="99">
        <v>30</v>
      </c>
      <c r="H66" s="99">
        <v>18</v>
      </c>
      <c r="I66" s="99">
        <v>103</v>
      </c>
      <c r="J66" s="99">
        <v>419</v>
      </c>
      <c r="K66" s="99">
        <v>6</v>
      </c>
      <c r="L66" s="99">
        <v>951</v>
      </c>
      <c r="M66" s="99">
        <v>336</v>
      </c>
      <c r="N66" s="99">
        <v>175</v>
      </c>
      <c r="O66" s="99">
        <v>119</v>
      </c>
      <c r="P66" s="158">
        <v>119</v>
      </c>
      <c r="Q66" s="99">
        <v>23</v>
      </c>
      <c r="R66" s="99">
        <v>40</v>
      </c>
      <c r="S66" s="99">
        <v>18</v>
      </c>
      <c r="T66" s="99">
        <v>20</v>
      </c>
      <c r="U66" s="99">
        <v>11</v>
      </c>
      <c r="V66" s="99">
        <v>37</v>
      </c>
      <c r="W66" s="99">
        <v>30</v>
      </c>
      <c r="X66" s="99">
        <v>6</v>
      </c>
      <c r="Y66" s="99">
        <v>20</v>
      </c>
      <c r="Z66" s="99">
        <v>35</v>
      </c>
      <c r="AA66" s="99">
        <v>9</v>
      </c>
      <c r="AB66" s="99">
        <v>15</v>
      </c>
      <c r="AC66" s="99">
        <v>9</v>
      </c>
      <c r="AD66" s="98" t="s">
        <v>181</v>
      </c>
      <c r="AE66" s="100">
        <v>0.13909246842351475</v>
      </c>
      <c r="AF66" s="100">
        <v>0.29</v>
      </c>
      <c r="AG66" s="98">
        <v>467.7997816934352</v>
      </c>
      <c r="AH66" s="98">
        <v>280.6798690160611</v>
      </c>
      <c r="AI66" s="100">
        <v>0.0161</v>
      </c>
      <c r="AJ66" s="100">
        <v>0.627246</v>
      </c>
      <c r="AK66" s="100">
        <v>0.428571</v>
      </c>
      <c r="AL66" s="100">
        <v>0.681232</v>
      </c>
      <c r="AM66" s="100">
        <v>0.525</v>
      </c>
      <c r="AN66" s="100">
        <v>0.501433</v>
      </c>
      <c r="AO66" s="98">
        <v>1855.605800717293</v>
      </c>
      <c r="AP66" s="157">
        <v>1.0322</v>
      </c>
      <c r="AQ66" s="100">
        <v>0.19327731092436976</v>
      </c>
      <c r="AR66" s="100">
        <v>0.575</v>
      </c>
      <c r="AS66" s="98">
        <v>280.6798690160611</v>
      </c>
      <c r="AT66" s="98">
        <v>311.86652112895683</v>
      </c>
      <c r="AU66" s="98">
        <v>171.52658662092625</v>
      </c>
      <c r="AV66" s="98">
        <v>576.95306408857</v>
      </c>
      <c r="AW66" s="98">
        <v>467.7997816934352</v>
      </c>
      <c r="AX66" s="98">
        <v>93.55995633868704</v>
      </c>
      <c r="AY66" s="98">
        <v>311.86652112895683</v>
      </c>
      <c r="AZ66" s="98">
        <v>545.7664119756744</v>
      </c>
      <c r="BA66" s="100">
        <v>0.2727272727272727</v>
      </c>
      <c r="BB66" s="100">
        <v>0.45454545454545453</v>
      </c>
      <c r="BC66" s="100">
        <v>0.2727272727272727</v>
      </c>
      <c r="BD66" s="157">
        <v>0.8551000000000001</v>
      </c>
      <c r="BE66" s="157">
        <v>1.2351</v>
      </c>
      <c r="BF66" s="161">
        <v>668</v>
      </c>
      <c r="BG66" s="161">
        <v>14</v>
      </c>
      <c r="BH66" s="161">
        <v>1396</v>
      </c>
      <c r="BI66" s="161">
        <v>640</v>
      </c>
      <c r="BJ66" s="161">
        <v>349</v>
      </c>
      <c r="BK66" s="97"/>
      <c r="BL66" s="97"/>
      <c r="BM66" s="97"/>
      <c r="BN66" s="97"/>
    </row>
    <row r="67" spans="1:66" ht="12.75">
      <c r="A67" s="79" t="s">
        <v>325</v>
      </c>
      <c r="B67" s="79" t="s">
        <v>119</v>
      </c>
      <c r="C67" s="79" t="s">
        <v>392</v>
      </c>
      <c r="D67" s="99">
        <v>4130</v>
      </c>
      <c r="E67" s="99">
        <v>1120</v>
      </c>
      <c r="F67" s="99" t="s">
        <v>201</v>
      </c>
      <c r="G67" s="99">
        <v>38</v>
      </c>
      <c r="H67" s="99">
        <v>11</v>
      </c>
      <c r="I67" s="99">
        <v>131</v>
      </c>
      <c r="J67" s="99">
        <v>610</v>
      </c>
      <c r="K67" s="99">
        <v>591</v>
      </c>
      <c r="L67" s="99">
        <v>779</v>
      </c>
      <c r="M67" s="99">
        <v>486</v>
      </c>
      <c r="N67" s="99">
        <v>263</v>
      </c>
      <c r="O67" s="99">
        <v>147</v>
      </c>
      <c r="P67" s="158">
        <v>147</v>
      </c>
      <c r="Q67" s="99">
        <v>15</v>
      </c>
      <c r="R67" s="99">
        <v>34</v>
      </c>
      <c r="S67" s="99">
        <v>23</v>
      </c>
      <c r="T67" s="99">
        <v>16</v>
      </c>
      <c r="U67" s="99" t="s">
        <v>972</v>
      </c>
      <c r="V67" s="99">
        <v>36</v>
      </c>
      <c r="W67" s="99">
        <v>31</v>
      </c>
      <c r="X67" s="99" t="s">
        <v>972</v>
      </c>
      <c r="Y67" s="99">
        <v>27</v>
      </c>
      <c r="Z67" s="99">
        <v>26</v>
      </c>
      <c r="AA67" s="99" t="s">
        <v>972</v>
      </c>
      <c r="AB67" s="99" t="s">
        <v>972</v>
      </c>
      <c r="AC67" s="99" t="s">
        <v>972</v>
      </c>
      <c r="AD67" s="98" t="s">
        <v>181</v>
      </c>
      <c r="AE67" s="100">
        <v>0.2711864406779661</v>
      </c>
      <c r="AF67" s="100">
        <v>0.08</v>
      </c>
      <c r="AG67" s="98">
        <v>920.0968523002422</v>
      </c>
      <c r="AH67" s="98">
        <v>266.3438256658596</v>
      </c>
      <c r="AI67" s="100">
        <v>0.0317</v>
      </c>
      <c r="AJ67" s="100">
        <v>0.795306</v>
      </c>
      <c r="AK67" s="100">
        <v>0.780713</v>
      </c>
      <c r="AL67" s="100">
        <v>0.798974</v>
      </c>
      <c r="AM67" s="100">
        <v>0.653226</v>
      </c>
      <c r="AN67" s="100">
        <v>0.646192</v>
      </c>
      <c r="AO67" s="98">
        <v>3559.322033898305</v>
      </c>
      <c r="AP67" s="157">
        <v>1.3215000000000001</v>
      </c>
      <c r="AQ67" s="100">
        <v>0.10204081632653061</v>
      </c>
      <c r="AR67" s="100">
        <v>0.4411764705882353</v>
      </c>
      <c r="AS67" s="98">
        <v>556.9007263922518</v>
      </c>
      <c r="AT67" s="98">
        <v>387.409200968523</v>
      </c>
      <c r="AU67" s="98" t="s">
        <v>972</v>
      </c>
      <c r="AV67" s="98">
        <v>871.6707021791767</v>
      </c>
      <c r="AW67" s="98">
        <v>750.6053268765133</v>
      </c>
      <c r="AX67" s="98" t="s">
        <v>972</v>
      </c>
      <c r="AY67" s="98">
        <v>653.7530266343825</v>
      </c>
      <c r="AZ67" s="98">
        <v>629.5399515738499</v>
      </c>
      <c r="BA67" s="100" t="s">
        <v>972</v>
      </c>
      <c r="BB67" s="100" t="s">
        <v>972</v>
      </c>
      <c r="BC67" s="100" t="s">
        <v>972</v>
      </c>
      <c r="BD67" s="157">
        <v>1.1165</v>
      </c>
      <c r="BE67" s="157">
        <v>1.5532</v>
      </c>
      <c r="BF67" s="161">
        <v>767</v>
      </c>
      <c r="BG67" s="161">
        <v>757</v>
      </c>
      <c r="BH67" s="161">
        <v>975</v>
      </c>
      <c r="BI67" s="161">
        <v>744</v>
      </c>
      <c r="BJ67" s="161">
        <v>407</v>
      </c>
      <c r="BK67" s="97"/>
      <c r="BL67" s="97"/>
      <c r="BM67" s="97"/>
      <c r="BN67" s="97"/>
    </row>
    <row r="68" spans="1:66" ht="12.75">
      <c r="A68" s="79" t="s">
        <v>299</v>
      </c>
      <c r="B68" s="79" t="s">
        <v>89</v>
      </c>
      <c r="C68" s="79" t="s">
        <v>392</v>
      </c>
      <c r="D68" s="99">
        <v>3032</v>
      </c>
      <c r="E68" s="99">
        <v>803</v>
      </c>
      <c r="F68" s="99" t="s">
        <v>201</v>
      </c>
      <c r="G68" s="99">
        <v>30</v>
      </c>
      <c r="H68" s="99">
        <v>12</v>
      </c>
      <c r="I68" s="99">
        <v>103</v>
      </c>
      <c r="J68" s="99">
        <v>390</v>
      </c>
      <c r="K68" s="99" t="s">
        <v>972</v>
      </c>
      <c r="L68" s="99">
        <v>580</v>
      </c>
      <c r="M68" s="99">
        <v>370</v>
      </c>
      <c r="N68" s="99">
        <v>168</v>
      </c>
      <c r="O68" s="99">
        <v>56</v>
      </c>
      <c r="P68" s="158">
        <v>56</v>
      </c>
      <c r="Q68" s="99">
        <v>6</v>
      </c>
      <c r="R68" s="99">
        <v>22</v>
      </c>
      <c r="S68" s="99">
        <v>13</v>
      </c>
      <c r="T68" s="99">
        <v>6</v>
      </c>
      <c r="U68" s="99" t="s">
        <v>972</v>
      </c>
      <c r="V68" s="99">
        <v>11</v>
      </c>
      <c r="W68" s="99">
        <v>23</v>
      </c>
      <c r="X68" s="99" t="s">
        <v>972</v>
      </c>
      <c r="Y68" s="99">
        <v>24</v>
      </c>
      <c r="Z68" s="99">
        <v>33</v>
      </c>
      <c r="AA68" s="99" t="s">
        <v>972</v>
      </c>
      <c r="AB68" s="99" t="s">
        <v>972</v>
      </c>
      <c r="AC68" s="99" t="s">
        <v>972</v>
      </c>
      <c r="AD68" s="98" t="s">
        <v>181</v>
      </c>
      <c r="AE68" s="100">
        <v>0.26484168865435354</v>
      </c>
      <c r="AF68" s="100">
        <v>0.09</v>
      </c>
      <c r="AG68" s="98">
        <v>989.4459102902375</v>
      </c>
      <c r="AH68" s="98">
        <v>395.77836411609496</v>
      </c>
      <c r="AI68" s="100">
        <v>0.034</v>
      </c>
      <c r="AJ68" s="100">
        <v>0.730337</v>
      </c>
      <c r="AK68" s="100" t="s">
        <v>972</v>
      </c>
      <c r="AL68" s="100">
        <v>0.783784</v>
      </c>
      <c r="AM68" s="100">
        <v>0.671506</v>
      </c>
      <c r="AN68" s="100">
        <v>0.646154</v>
      </c>
      <c r="AO68" s="98">
        <v>1846.9656992084433</v>
      </c>
      <c r="AP68" s="157">
        <v>0.6969</v>
      </c>
      <c r="AQ68" s="100">
        <v>0.10714285714285714</v>
      </c>
      <c r="AR68" s="100">
        <v>0.2727272727272727</v>
      </c>
      <c r="AS68" s="98">
        <v>428.7598944591029</v>
      </c>
      <c r="AT68" s="98">
        <v>197.88918205804748</v>
      </c>
      <c r="AU68" s="98" t="s">
        <v>972</v>
      </c>
      <c r="AV68" s="98">
        <v>362.7968337730871</v>
      </c>
      <c r="AW68" s="98">
        <v>758.575197889182</v>
      </c>
      <c r="AX68" s="98" t="s">
        <v>972</v>
      </c>
      <c r="AY68" s="98">
        <v>791.5567282321899</v>
      </c>
      <c r="AZ68" s="98">
        <v>1088.3905013192611</v>
      </c>
      <c r="BA68" s="101" t="s">
        <v>972</v>
      </c>
      <c r="BB68" s="101" t="s">
        <v>972</v>
      </c>
      <c r="BC68" s="101" t="s">
        <v>972</v>
      </c>
      <c r="BD68" s="157">
        <v>0.5264</v>
      </c>
      <c r="BE68" s="157">
        <v>0.905</v>
      </c>
      <c r="BF68" s="161">
        <v>534</v>
      </c>
      <c r="BG68" s="161" t="s">
        <v>972</v>
      </c>
      <c r="BH68" s="161">
        <v>740</v>
      </c>
      <c r="BI68" s="161">
        <v>551</v>
      </c>
      <c r="BJ68" s="161">
        <v>260</v>
      </c>
      <c r="BK68" s="97"/>
      <c r="BL68" s="97"/>
      <c r="BM68" s="97"/>
      <c r="BN68" s="97"/>
    </row>
    <row r="69" spans="1:66" ht="12.75">
      <c r="A69" s="79" t="s">
        <v>399</v>
      </c>
      <c r="B69" s="79" t="s">
        <v>101</v>
      </c>
      <c r="C69" s="79" t="s">
        <v>392</v>
      </c>
      <c r="D69" s="99">
        <v>15855</v>
      </c>
      <c r="E69" s="99">
        <v>2561</v>
      </c>
      <c r="F69" s="99" t="s">
        <v>201</v>
      </c>
      <c r="G69" s="99">
        <v>27</v>
      </c>
      <c r="H69" s="99">
        <v>33</v>
      </c>
      <c r="I69" s="99">
        <v>252</v>
      </c>
      <c r="J69" s="99">
        <v>1413</v>
      </c>
      <c r="K69" s="99">
        <v>363</v>
      </c>
      <c r="L69" s="99">
        <v>2967</v>
      </c>
      <c r="M69" s="99">
        <v>1013</v>
      </c>
      <c r="N69" s="99">
        <v>501</v>
      </c>
      <c r="O69" s="99">
        <v>375</v>
      </c>
      <c r="P69" s="158">
        <v>375</v>
      </c>
      <c r="Q69" s="99">
        <v>32</v>
      </c>
      <c r="R69" s="99">
        <v>73</v>
      </c>
      <c r="S69" s="99">
        <v>87</v>
      </c>
      <c r="T69" s="99">
        <v>52</v>
      </c>
      <c r="U69" s="99">
        <v>10</v>
      </c>
      <c r="V69" s="99">
        <v>59</v>
      </c>
      <c r="W69" s="99">
        <v>30</v>
      </c>
      <c r="X69" s="99">
        <v>21</v>
      </c>
      <c r="Y69" s="99">
        <v>91</v>
      </c>
      <c r="Z69" s="99">
        <v>48</v>
      </c>
      <c r="AA69" s="99">
        <v>9</v>
      </c>
      <c r="AB69" s="99">
        <v>33</v>
      </c>
      <c r="AC69" s="99">
        <v>22</v>
      </c>
      <c r="AD69" s="98" t="s">
        <v>181</v>
      </c>
      <c r="AE69" s="100">
        <v>0.16152633238725955</v>
      </c>
      <c r="AF69" s="100">
        <v>0.1</v>
      </c>
      <c r="AG69" s="98">
        <v>170.29328287606432</v>
      </c>
      <c r="AH69" s="98">
        <v>208.13623462630085</v>
      </c>
      <c r="AI69" s="100">
        <v>0.0159</v>
      </c>
      <c r="AJ69" s="100">
        <v>0.771288</v>
      </c>
      <c r="AK69" s="100">
        <v>0.730382</v>
      </c>
      <c r="AL69" s="100">
        <v>0.72685</v>
      </c>
      <c r="AM69" s="100">
        <v>0.623001</v>
      </c>
      <c r="AN69" s="100">
        <v>0.600719</v>
      </c>
      <c r="AO69" s="98">
        <v>2365.1844843897825</v>
      </c>
      <c r="AP69" s="157">
        <v>1.1832</v>
      </c>
      <c r="AQ69" s="100">
        <v>0.08533333333333333</v>
      </c>
      <c r="AR69" s="100">
        <v>0.4383561643835616</v>
      </c>
      <c r="AS69" s="98">
        <v>548.7228003784295</v>
      </c>
      <c r="AT69" s="98">
        <v>327.9722485020498</v>
      </c>
      <c r="AU69" s="98">
        <v>63.0715862503942</v>
      </c>
      <c r="AV69" s="98">
        <v>372.1223588773258</v>
      </c>
      <c r="AW69" s="98">
        <v>189.2147587511826</v>
      </c>
      <c r="AX69" s="98">
        <v>132.4503311258278</v>
      </c>
      <c r="AY69" s="98">
        <v>573.9514348785872</v>
      </c>
      <c r="AZ69" s="98">
        <v>302.7436140018921</v>
      </c>
      <c r="BA69" s="100">
        <v>0.140625</v>
      </c>
      <c r="BB69" s="100">
        <v>0.515625</v>
      </c>
      <c r="BC69" s="100">
        <v>0.34375</v>
      </c>
      <c r="BD69" s="157">
        <v>1.0665</v>
      </c>
      <c r="BE69" s="157">
        <v>1.3092</v>
      </c>
      <c r="BF69" s="161">
        <v>1832</v>
      </c>
      <c r="BG69" s="161">
        <v>497</v>
      </c>
      <c r="BH69" s="161">
        <v>4082</v>
      </c>
      <c r="BI69" s="161">
        <v>1626</v>
      </c>
      <c r="BJ69" s="161">
        <v>834</v>
      </c>
      <c r="BK69" s="97"/>
      <c r="BL69" s="97"/>
      <c r="BM69" s="97"/>
      <c r="BN69" s="97"/>
    </row>
    <row r="70" spans="1:66" ht="12.75">
      <c r="A70" s="79" t="s">
        <v>344</v>
      </c>
      <c r="B70" s="79" t="s">
        <v>143</v>
      </c>
      <c r="C70" s="79" t="s">
        <v>392</v>
      </c>
      <c r="D70" s="99">
        <v>7019</v>
      </c>
      <c r="E70" s="99">
        <v>1393</v>
      </c>
      <c r="F70" s="99" t="s">
        <v>201</v>
      </c>
      <c r="G70" s="99">
        <v>34</v>
      </c>
      <c r="H70" s="99">
        <v>28</v>
      </c>
      <c r="I70" s="99">
        <v>136</v>
      </c>
      <c r="J70" s="99">
        <v>743</v>
      </c>
      <c r="K70" s="99">
        <v>7</v>
      </c>
      <c r="L70" s="99">
        <v>1308</v>
      </c>
      <c r="M70" s="99">
        <v>552</v>
      </c>
      <c r="N70" s="99">
        <v>288</v>
      </c>
      <c r="O70" s="99">
        <v>149</v>
      </c>
      <c r="P70" s="158">
        <v>149</v>
      </c>
      <c r="Q70" s="99">
        <v>17</v>
      </c>
      <c r="R70" s="99">
        <v>29</v>
      </c>
      <c r="S70" s="99">
        <v>26</v>
      </c>
      <c r="T70" s="99">
        <v>20</v>
      </c>
      <c r="U70" s="99" t="s">
        <v>972</v>
      </c>
      <c r="V70" s="99">
        <v>37</v>
      </c>
      <c r="W70" s="99">
        <v>57</v>
      </c>
      <c r="X70" s="99">
        <v>30</v>
      </c>
      <c r="Y70" s="99">
        <v>80</v>
      </c>
      <c r="Z70" s="99">
        <v>34</v>
      </c>
      <c r="AA70" s="99">
        <v>8</v>
      </c>
      <c r="AB70" s="99">
        <v>19</v>
      </c>
      <c r="AC70" s="99">
        <v>10</v>
      </c>
      <c r="AD70" s="98" t="s">
        <v>181</v>
      </c>
      <c r="AE70" s="100">
        <v>0.1984613192762502</v>
      </c>
      <c r="AF70" s="100">
        <v>0.1</v>
      </c>
      <c r="AG70" s="98">
        <v>484.3994871064254</v>
      </c>
      <c r="AH70" s="98">
        <v>398.91722467587977</v>
      </c>
      <c r="AI70" s="100">
        <v>0.0194</v>
      </c>
      <c r="AJ70" s="100">
        <v>0.792111</v>
      </c>
      <c r="AK70" s="100">
        <v>0.411765</v>
      </c>
      <c r="AL70" s="100">
        <v>0.778108</v>
      </c>
      <c r="AM70" s="100">
        <v>0.630857</v>
      </c>
      <c r="AN70" s="100">
        <v>0.64574</v>
      </c>
      <c r="AO70" s="98">
        <v>2122.8095170252172</v>
      </c>
      <c r="AP70" s="157">
        <v>0.9682</v>
      </c>
      <c r="AQ70" s="100">
        <v>0.11409395973154363</v>
      </c>
      <c r="AR70" s="100">
        <v>0.5862068965517241</v>
      </c>
      <c r="AS70" s="98">
        <v>370.4231371990312</v>
      </c>
      <c r="AT70" s="98">
        <v>284.9408747684855</v>
      </c>
      <c r="AU70" s="98" t="s">
        <v>972</v>
      </c>
      <c r="AV70" s="98">
        <v>527.1406183216983</v>
      </c>
      <c r="AW70" s="98">
        <v>812.0814930901838</v>
      </c>
      <c r="AX70" s="98">
        <v>427.4113121527283</v>
      </c>
      <c r="AY70" s="98">
        <v>1139.763499073942</v>
      </c>
      <c r="AZ70" s="98">
        <v>484.3994871064254</v>
      </c>
      <c r="BA70" s="100">
        <v>0.21621621621621623</v>
      </c>
      <c r="BB70" s="100">
        <v>0.5135135135135135</v>
      </c>
      <c r="BC70" s="100">
        <v>0.2702702702702703</v>
      </c>
      <c r="BD70" s="157">
        <v>0.8190000000000001</v>
      </c>
      <c r="BE70" s="157">
        <v>1.1367</v>
      </c>
      <c r="BF70" s="161">
        <v>938</v>
      </c>
      <c r="BG70" s="161">
        <v>17</v>
      </c>
      <c r="BH70" s="161">
        <v>1681</v>
      </c>
      <c r="BI70" s="161">
        <v>875</v>
      </c>
      <c r="BJ70" s="161">
        <v>446</v>
      </c>
      <c r="BK70" s="97"/>
      <c r="BL70" s="97"/>
      <c r="BM70" s="97"/>
      <c r="BN70" s="97"/>
    </row>
    <row r="71" spans="1:66" ht="12.75">
      <c r="A71" s="79" t="s">
        <v>290</v>
      </c>
      <c r="B71" s="79" t="s">
        <v>77</v>
      </c>
      <c r="C71" s="79" t="s">
        <v>392</v>
      </c>
      <c r="D71" s="99">
        <v>7211</v>
      </c>
      <c r="E71" s="99">
        <v>860</v>
      </c>
      <c r="F71" s="99" t="s">
        <v>200</v>
      </c>
      <c r="G71" s="99">
        <v>38</v>
      </c>
      <c r="H71" s="99">
        <v>13</v>
      </c>
      <c r="I71" s="99">
        <v>131</v>
      </c>
      <c r="J71" s="99">
        <v>453</v>
      </c>
      <c r="K71" s="99" t="s">
        <v>972</v>
      </c>
      <c r="L71" s="99">
        <v>1102</v>
      </c>
      <c r="M71" s="99">
        <v>273</v>
      </c>
      <c r="N71" s="99">
        <v>162</v>
      </c>
      <c r="O71" s="99">
        <v>136</v>
      </c>
      <c r="P71" s="158">
        <v>136</v>
      </c>
      <c r="Q71" s="99">
        <v>19</v>
      </c>
      <c r="R71" s="99">
        <v>31</v>
      </c>
      <c r="S71" s="99">
        <v>18</v>
      </c>
      <c r="T71" s="99">
        <v>21</v>
      </c>
      <c r="U71" s="99">
        <v>7</v>
      </c>
      <c r="V71" s="99">
        <v>19</v>
      </c>
      <c r="W71" s="99">
        <v>46</v>
      </c>
      <c r="X71" s="99" t="s">
        <v>972</v>
      </c>
      <c r="Y71" s="99">
        <v>37</v>
      </c>
      <c r="Z71" s="99">
        <v>31</v>
      </c>
      <c r="AA71" s="99" t="s">
        <v>972</v>
      </c>
      <c r="AB71" s="99">
        <v>12</v>
      </c>
      <c r="AC71" s="99" t="s">
        <v>972</v>
      </c>
      <c r="AD71" s="98" t="s">
        <v>181</v>
      </c>
      <c r="AE71" s="100">
        <v>0.11926223824712245</v>
      </c>
      <c r="AF71" s="100">
        <v>0.22</v>
      </c>
      <c r="AG71" s="98">
        <v>526.9726806268202</v>
      </c>
      <c r="AH71" s="98">
        <v>180.2801275828595</v>
      </c>
      <c r="AI71" s="100">
        <v>0.0182</v>
      </c>
      <c r="AJ71" s="100">
        <v>0.67916</v>
      </c>
      <c r="AK71" s="100" t="s">
        <v>972</v>
      </c>
      <c r="AL71" s="100">
        <v>0.645199</v>
      </c>
      <c r="AM71" s="100">
        <v>0.491892</v>
      </c>
      <c r="AN71" s="100">
        <v>0.522581</v>
      </c>
      <c r="AO71" s="98">
        <v>1886.0074885591457</v>
      </c>
      <c r="AP71" s="157">
        <v>1.073</v>
      </c>
      <c r="AQ71" s="100">
        <v>0.13970588235294118</v>
      </c>
      <c r="AR71" s="100">
        <v>0.6129032258064516</v>
      </c>
      <c r="AS71" s="98">
        <v>249.61863819165166</v>
      </c>
      <c r="AT71" s="98">
        <v>291.2217445569269</v>
      </c>
      <c r="AU71" s="98">
        <v>97.07391485230897</v>
      </c>
      <c r="AV71" s="98">
        <v>263.4863403134101</v>
      </c>
      <c r="AW71" s="98">
        <v>637.9142976008875</v>
      </c>
      <c r="AX71" s="98" t="s">
        <v>972</v>
      </c>
      <c r="AY71" s="98">
        <v>513.1049785050617</v>
      </c>
      <c r="AZ71" s="98">
        <v>429.89876577451116</v>
      </c>
      <c r="BA71" s="100" t="s">
        <v>972</v>
      </c>
      <c r="BB71" s="100">
        <v>0.5</v>
      </c>
      <c r="BC71" s="100" t="s">
        <v>972</v>
      </c>
      <c r="BD71" s="157">
        <v>0.9003</v>
      </c>
      <c r="BE71" s="157">
        <v>1.2692</v>
      </c>
      <c r="BF71" s="161">
        <v>667</v>
      </c>
      <c r="BG71" s="161" t="s">
        <v>972</v>
      </c>
      <c r="BH71" s="161">
        <v>1708</v>
      </c>
      <c r="BI71" s="161">
        <v>555</v>
      </c>
      <c r="BJ71" s="161">
        <v>310</v>
      </c>
      <c r="BK71" s="97"/>
      <c r="BL71" s="97"/>
      <c r="BM71" s="97"/>
      <c r="BN71" s="97"/>
    </row>
    <row r="72" spans="1:66" ht="12.75">
      <c r="A72" s="79" t="s">
        <v>300</v>
      </c>
      <c r="B72" s="79" t="s">
        <v>90</v>
      </c>
      <c r="C72" s="79" t="s">
        <v>392</v>
      </c>
      <c r="D72" s="99">
        <v>11175</v>
      </c>
      <c r="E72" s="99">
        <v>3132</v>
      </c>
      <c r="F72" s="99" t="s">
        <v>202</v>
      </c>
      <c r="G72" s="99">
        <v>100</v>
      </c>
      <c r="H72" s="99">
        <v>47</v>
      </c>
      <c r="I72" s="99">
        <v>266</v>
      </c>
      <c r="J72" s="99">
        <v>1452</v>
      </c>
      <c r="K72" s="99">
        <v>1383</v>
      </c>
      <c r="L72" s="99">
        <v>1912</v>
      </c>
      <c r="M72" s="99">
        <v>1181</v>
      </c>
      <c r="N72" s="99">
        <v>572</v>
      </c>
      <c r="O72" s="99">
        <v>346</v>
      </c>
      <c r="P72" s="158">
        <v>346</v>
      </c>
      <c r="Q72" s="99">
        <v>36</v>
      </c>
      <c r="R72" s="99">
        <v>87</v>
      </c>
      <c r="S72" s="99">
        <v>45</v>
      </c>
      <c r="T72" s="99">
        <v>77</v>
      </c>
      <c r="U72" s="99">
        <v>14</v>
      </c>
      <c r="V72" s="99">
        <v>20</v>
      </c>
      <c r="W72" s="99">
        <v>98</v>
      </c>
      <c r="X72" s="99">
        <v>72</v>
      </c>
      <c r="Y72" s="99">
        <v>111</v>
      </c>
      <c r="Z72" s="99">
        <v>103</v>
      </c>
      <c r="AA72" s="99">
        <v>14</v>
      </c>
      <c r="AB72" s="99">
        <v>34</v>
      </c>
      <c r="AC72" s="99">
        <v>25</v>
      </c>
      <c r="AD72" s="98" t="s">
        <v>181</v>
      </c>
      <c r="AE72" s="100">
        <v>0.2802684563758389</v>
      </c>
      <c r="AF72" s="100">
        <v>0.14</v>
      </c>
      <c r="AG72" s="98">
        <v>894.8545861297539</v>
      </c>
      <c r="AH72" s="98">
        <v>420.58165548098435</v>
      </c>
      <c r="AI72" s="100">
        <v>0.023799999999999998</v>
      </c>
      <c r="AJ72" s="100">
        <v>0.791712</v>
      </c>
      <c r="AK72" s="100">
        <v>0.77349</v>
      </c>
      <c r="AL72" s="100">
        <v>0.760239</v>
      </c>
      <c r="AM72" s="100">
        <v>0.631889</v>
      </c>
      <c r="AN72" s="100">
        <v>0.609159</v>
      </c>
      <c r="AO72" s="98">
        <v>3096.1968680089485</v>
      </c>
      <c r="AP72" s="157">
        <v>1.1803</v>
      </c>
      <c r="AQ72" s="100">
        <v>0.10404624277456648</v>
      </c>
      <c r="AR72" s="100">
        <v>0.41379310344827586</v>
      </c>
      <c r="AS72" s="98">
        <v>402.6845637583893</v>
      </c>
      <c r="AT72" s="98">
        <v>689.0380313199105</v>
      </c>
      <c r="AU72" s="98">
        <v>125.27964205816555</v>
      </c>
      <c r="AV72" s="98">
        <v>178.97091722595079</v>
      </c>
      <c r="AW72" s="98">
        <v>876.9574944071588</v>
      </c>
      <c r="AX72" s="98">
        <v>644.2953020134228</v>
      </c>
      <c r="AY72" s="98">
        <v>993.2885906040268</v>
      </c>
      <c r="AZ72" s="98">
        <v>921.7002237136466</v>
      </c>
      <c r="BA72" s="100">
        <v>0.1917808219178082</v>
      </c>
      <c r="BB72" s="100">
        <v>0.4657534246575342</v>
      </c>
      <c r="BC72" s="100">
        <v>0.3424657534246575</v>
      </c>
      <c r="BD72" s="157">
        <v>1.0592</v>
      </c>
      <c r="BE72" s="157">
        <v>1.3115</v>
      </c>
      <c r="BF72" s="161">
        <v>1834</v>
      </c>
      <c r="BG72" s="161">
        <v>1788</v>
      </c>
      <c r="BH72" s="161">
        <v>2515</v>
      </c>
      <c r="BI72" s="161">
        <v>1869</v>
      </c>
      <c r="BJ72" s="161">
        <v>939</v>
      </c>
      <c r="BK72" s="97"/>
      <c r="BL72" s="97"/>
      <c r="BM72" s="97"/>
      <c r="BN72" s="97"/>
    </row>
    <row r="73" spans="1:66" ht="12.75">
      <c r="A73" s="79" t="s">
        <v>307</v>
      </c>
      <c r="B73" s="79" t="s">
        <v>97</v>
      </c>
      <c r="C73" s="79" t="s">
        <v>392</v>
      </c>
      <c r="D73" s="99">
        <v>10373</v>
      </c>
      <c r="E73" s="99">
        <v>2659</v>
      </c>
      <c r="F73" s="99" t="s">
        <v>202</v>
      </c>
      <c r="G73" s="99">
        <v>76</v>
      </c>
      <c r="H73" s="99">
        <v>31</v>
      </c>
      <c r="I73" s="99">
        <v>326</v>
      </c>
      <c r="J73" s="99">
        <v>1301</v>
      </c>
      <c r="K73" s="99">
        <v>1261</v>
      </c>
      <c r="L73" s="99">
        <v>1813</v>
      </c>
      <c r="M73" s="99">
        <v>965</v>
      </c>
      <c r="N73" s="99">
        <v>490</v>
      </c>
      <c r="O73" s="99">
        <v>369</v>
      </c>
      <c r="P73" s="158">
        <v>369</v>
      </c>
      <c r="Q73" s="99">
        <v>28</v>
      </c>
      <c r="R73" s="99">
        <v>78</v>
      </c>
      <c r="S73" s="99">
        <v>47</v>
      </c>
      <c r="T73" s="99">
        <v>63</v>
      </c>
      <c r="U73" s="99">
        <v>11</v>
      </c>
      <c r="V73" s="99">
        <v>82</v>
      </c>
      <c r="W73" s="99">
        <v>94</v>
      </c>
      <c r="X73" s="99">
        <v>27</v>
      </c>
      <c r="Y73" s="99">
        <v>90</v>
      </c>
      <c r="Z73" s="99">
        <v>68</v>
      </c>
      <c r="AA73" s="99">
        <v>15</v>
      </c>
      <c r="AB73" s="99">
        <v>48</v>
      </c>
      <c r="AC73" s="99">
        <v>21</v>
      </c>
      <c r="AD73" s="98" t="s">
        <v>181</v>
      </c>
      <c r="AE73" s="100">
        <v>0.25633857129085125</v>
      </c>
      <c r="AF73" s="100">
        <v>0.11</v>
      </c>
      <c r="AG73" s="98">
        <v>732.6713583341367</v>
      </c>
      <c r="AH73" s="98">
        <v>298.8527908994505</v>
      </c>
      <c r="AI73" s="100">
        <v>0.031400000000000004</v>
      </c>
      <c r="AJ73" s="100">
        <v>0.796693</v>
      </c>
      <c r="AK73" s="100">
        <v>0.798101</v>
      </c>
      <c r="AL73" s="100">
        <v>0.752594</v>
      </c>
      <c r="AM73" s="100">
        <v>0.636124</v>
      </c>
      <c r="AN73" s="100">
        <v>0.635538</v>
      </c>
      <c r="AO73" s="98">
        <v>3557.312252964427</v>
      </c>
      <c r="AP73" s="157">
        <v>1.4203999999999999</v>
      </c>
      <c r="AQ73" s="100">
        <v>0.07588075880758807</v>
      </c>
      <c r="AR73" s="100">
        <v>0.358974358974359</v>
      </c>
      <c r="AS73" s="98">
        <v>453.0993926540056</v>
      </c>
      <c r="AT73" s="98">
        <v>607.3459944085607</v>
      </c>
      <c r="AU73" s="98">
        <v>106.04453870625663</v>
      </c>
      <c r="AV73" s="98">
        <v>790.5138339920949</v>
      </c>
      <c r="AW73" s="98">
        <v>906.1987853080112</v>
      </c>
      <c r="AX73" s="98">
        <v>260.29114046081173</v>
      </c>
      <c r="AY73" s="98">
        <v>867.6371348693724</v>
      </c>
      <c r="AZ73" s="98">
        <v>655.5480574568592</v>
      </c>
      <c r="BA73" s="100">
        <v>0.17857142857142858</v>
      </c>
      <c r="BB73" s="100">
        <v>0.5714285714285714</v>
      </c>
      <c r="BC73" s="100">
        <v>0.25</v>
      </c>
      <c r="BD73" s="157">
        <v>1.2792000000000001</v>
      </c>
      <c r="BE73" s="157">
        <v>1.5730000000000002</v>
      </c>
      <c r="BF73" s="161">
        <v>1633</v>
      </c>
      <c r="BG73" s="161">
        <v>1580</v>
      </c>
      <c r="BH73" s="161">
        <v>2409</v>
      </c>
      <c r="BI73" s="161">
        <v>1517</v>
      </c>
      <c r="BJ73" s="161">
        <v>771</v>
      </c>
      <c r="BK73" s="97"/>
      <c r="BL73" s="97"/>
      <c r="BM73" s="97"/>
      <c r="BN73" s="97"/>
    </row>
    <row r="74" spans="1:66" ht="12.75">
      <c r="A74" s="79" t="s">
        <v>281</v>
      </c>
      <c r="B74" s="79" t="s">
        <v>65</v>
      </c>
      <c r="C74" s="79" t="s">
        <v>392</v>
      </c>
      <c r="D74" s="99">
        <v>7308</v>
      </c>
      <c r="E74" s="99">
        <v>1052</v>
      </c>
      <c r="F74" s="99" t="s">
        <v>200</v>
      </c>
      <c r="G74" s="99">
        <v>30</v>
      </c>
      <c r="H74" s="99">
        <v>25</v>
      </c>
      <c r="I74" s="99">
        <v>146</v>
      </c>
      <c r="J74" s="99">
        <v>606</v>
      </c>
      <c r="K74" s="99">
        <v>598</v>
      </c>
      <c r="L74" s="99">
        <v>1221</v>
      </c>
      <c r="M74" s="99">
        <v>396</v>
      </c>
      <c r="N74" s="99">
        <v>190</v>
      </c>
      <c r="O74" s="99">
        <v>117</v>
      </c>
      <c r="P74" s="158">
        <v>117</v>
      </c>
      <c r="Q74" s="99">
        <v>15</v>
      </c>
      <c r="R74" s="99">
        <v>45</v>
      </c>
      <c r="S74" s="99">
        <v>25</v>
      </c>
      <c r="T74" s="99">
        <v>15</v>
      </c>
      <c r="U74" s="99">
        <v>9</v>
      </c>
      <c r="V74" s="99">
        <v>19</v>
      </c>
      <c r="W74" s="99">
        <v>34</v>
      </c>
      <c r="X74" s="99">
        <v>11</v>
      </c>
      <c r="Y74" s="99">
        <v>50</v>
      </c>
      <c r="Z74" s="99">
        <v>60</v>
      </c>
      <c r="AA74" s="99">
        <v>11</v>
      </c>
      <c r="AB74" s="99">
        <v>14</v>
      </c>
      <c r="AC74" s="99">
        <v>7</v>
      </c>
      <c r="AD74" s="98" t="s">
        <v>181</v>
      </c>
      <c r="AE74" s="100">
        <v>0.14395183360700603</v>
      </c>
      <c r="AF74" s="100">
        <v>0.24</v>
      </c>
      <c r="AG74" s="98">
        <v>410.5090311986864</v>
      </c>
      <c r="AH74" s="98">
        <v>342.09085933223867</v>
      </c>
      <c r="AI74" s="100">
        <v>0.02</v>
      </c>
      <c r="AJ74" s="100">
        <v>0.741738</v>
      </c>
      <c r="AK74" s="100">
        <v>0.733742</v>
      </c>
      <c r="AL74" s="100">
        <v>0.723341</v>
      </c>
      <c r="AM74" s="100">
        <v>0.541724</v>
      </c>
      <c r="AN74" s="100">
        <v>0.538244</v>
      </c>
      <c r="AO74" s="98">
        <v>1600.9852216748768</v>
      </c>
      <c r="AP74" s="157">
        <v>0.8776999999999999</v>
      </c>
      <c r="AQ74" s="100">
        <v>0.1282051282051282</v>
      </c>
      <c r="AR74" s="100">
        <v>0.3333333333333333</v>
      </c>
      <c r="AS74" s="98">
        <v>342.09085933223867</v>
      </c>
      <c r="AT74" s="98">
        <v>205.2545155993432</v>
      </c>
      <c r="AU74" s="98">
        <v>123.15270935960591</v>
      </c>
      <c r="AV74" s="98">
        <v>259.98905309250136</v>
      </c>
      <c r="AW74" s="98">
        <v>465.24356869184453</v>
      </c>
      <c r="AX74" s="98">
        <v>150.519978106185</v>
      </c>
      <c r="AY74" s="98">
        <v>684.1817186644773</v>
      </c>
      <c r="AZ74" s="98">
        <v>821.0180623973728</v>
      </c>
      <c r="BA74" s="100">
        <v>0.34375</v>
      </c>
      <c r="BB74" s="100">
        <v>0.4375</v>
      </c>
      <c r="BC74" s="100">
        <v>0.21875</v>
      </c>
      <c r="BD74" s="157">
        <v>0.7259</v>
      </c>
      <c r="BE74" s="157">
        <v>1.0519</v>
      </c>
      <c r="BF74" s="161">
        <v>817</v>
      </c>
      <c r="BG74" s="161">
        <v>815</v>
      </c>
      <c r="BH74" s="161">
        <v>1688</v>
      </c>
      <c r="BI74" s="161">
        <v>731</v>
      </c>
      <c r="BJ74" s="161">
        <v>353</v>
      </c>
      <c r="BK74" s="97"/>
      <c r="BL74" s="97"/>
      <c r="BM74" s="97"/>
      <c r="BN74" s="97"/>
    </row>
    <row r="75" spans="1:66" ht="12.75">
      <c r="A75" s="79" t="s">
        <v>326</v>
      </c>
      <c r="B75" s="79" t="s">
        <v>120</v>
      </c>
      <c r="C75" s="79" t="s">
        <v>392</v>
      </c>
      <c r="D75" s="99">
        <v>12340</v>
      </c>
      <c r="E75" s="99">
        <v>2826</v>
      </c>
      <c r="F75" s="99" t="s">
        <v>202</v>
      </c>
      <c r="G75" s="99">
        <v>79</v>
      </c>
      <c r="H75" s="99">
        <v>40</v>
      </c>
      <c r="I75" s="99">
        <v>267</v>
      </c>
      <c r="J75" s="99">
        <v>1479</v>
      </c>
      <c r="K75" s="99">
        <v>1428</v>
      </c>
      <c r="L75" s="99">
        <v>2209</v>
      </c>
      <c r="M75" s="99">
        <v>1087</v>
      </c>
      <c r="N75" s="99">
        <v>537</v>
      </c>
      <c r="O75" s="99">
        <v>317</v>
      </c>
      <c r="P75" s="158">
        <v>317</v>
      </c>
      <c r="Q75" s="99">
        <v>37</v>
      </c>
      <c r="R75" s="99">
        <v>76</v>
      </c>
      <c r="S75" s="99">
        <v>53</v>
      </c>
      <c r="T75" s="99">
        <v>49</v>
      </c>
      <c r="U75" s="99">
        <v>14</v>
      </c>
      <c r="V75" s="99">
        <v>49</v>
      </c>
      <c r="W75" s="99">
        <v>98</v>
      </c>
      <c r="X75" s="99">
        <v>44</v>
      </c>
      <c r="Y75" s="99">
        <v>132</v>
      </c>
      <c r="Z75" s="99">
        <v>86</v>
      </c>
      <c r="AA75" s="99">
        <v>14</v>
      </c>
      <c r="AB75" s="99">
        <v>34</v>
      </c>
      <c r="AC75" s="99">
        <v>14</v>
      </c>
      <c r="AD75" s="98" t="s">
        <v>181</v>
      </c>
      <c r="AE75" s="100">
        <v>0.22901134521880065</v>
      </c>
      <c r="AF75" s="100">
        <v>0.12</v>
      </c>
      <c r="AG75" s="98">
        <v>640.194489465154</v>
      </c>
      <c r="AH75" s="98">
        <v>324.14910858995137</v>
      </c>
      <c r="AI75" s="100">
        <v>0.0216</v>
      </c>
      <c r="AJ75" s="100">
        <v>0.817579</v>
      </c>
      <c r="AK75" s="100">
        <v>0.807236</v>
      </c>
      <c r="AL75" s="100">
        <v>0.778914</v>
      </c>
      <c r="AM75" s="100">
        <v>0.614124</v>
      </c>
      <c r="AN75" s="100">
        <v>0.608844</v>
      </c>
      <c r="AO75" s="98">
        <v>2568.881685575365</v>
      </c>
      <c r="AP75" s="157">
        <v>1.0943</v>
      </c>
      <c r="AQ75" s="100">
        <v>0.1167192429022082</v>
      </c>
      <c r="AR75" s="100">
        <v>0.4868421052631579</v>
      </c>
      <c r="AS75" s="98">
        <v>429.4975688816856</v>
      </c>
      <c r="AT75" s="98">
        <v>397.08265802269045</v>
      </c>
      <c r="AU75" s="98">
        <v>113.45218800648298</v>
      </c>
      <c r="AV75" s="98">
        <v>397.08265802269045</v>
      </c>
      <c r="AW75" s="98">
        <v>794.1653160453809</v>
      </c>
      <c r="AX75" s="98">
        <v>356.5640194489465</v>
      </c>
      <c r="AY75" s="98">
        <v>1069.6920583468395</v>
      </c>
      <c r="AZ75" s="98">
        <v>696.9205834683954</v>
      </c>
      <c r="BA75" s="100">
        <v>0.22580645161290322</v>
      </c>
      <c r="BB75" s="100">
        <v>0.5483870967741935</v>
      </c>
      <c r="BC75" s="100">
        <v>0.22580645161290322</v>
      </c>
      <c r="BD75" s="157">
        <v>0.9772</v>
      </c>
      <c r="BE75" s="157">
        <v>1.2217</v>
      </c>
      <c r="BF75" s="161">
        <v>1809</v>
      </c>
      <c r="BG75" s="161">
        <v>1769</v>
      </c>
      <c r="BH75" s="161">
        <v>2836</v>
      </c>
      <c r="BI75" s="161">
        <v>1770</v>
      </c>
      <c r="BJ75" s="161">
        <v>882</v>
      </c>
      <c r="BK75" s="97"/>
      <c r="BL75" s="97"/>
      <c r="BM75" s="97"/>
      <c r="BN75" s="97"/>
    </row>
    <row r="76" spans="1:66" ht="12.75">
      <c r="A76" s="79" t="s">
        <v>375</v>
      </c>
      <c r="B76" s="79" t="s">
        <v>178</v>
      </c>
      <c r="C76" s="79" t="s">
        <v>392</v>
      </c>
      <c r="D76" s="99">
        <v>1625</v>
      </c>
      <c r="E76" s="99">
        <v>267</v>
      </c>
      <c r="F76" s="99" t="s">
        <v>202</v>
      </c>
      <c r="G76" s="99">
        <v>7</v>
      </c>
      <c r="H76" s="99" t="s">
        <v>972</v>
      </c>
      <c r="I76" s="99">
        <v>23</v>
      </c>
      <c r="J76" s="99">
        <v>175</v>
      </c>
      <c r="K76" s="99">
        <v>154</v>
      </c>
      <c r="L76" s="99">
        <v>303</v>
      </c>
      <c r="M76" s="99">
        <v>143</v>
      </c>
      <c r="N76" s="99">
        <v>71</v>
      </c>
      <c r="O76" s="99">
        <v>36</v>
      </c>
      <c r="P76" s="158">
        <v>36</v>
      </c>
      <c r="Q76" s="99" t="s">
        <v>972</v>
      </c>
      <c r="R76" s="99" t="s">
        <v>972</v>
      </c>
      <c r="S76" s="99">
        <v>8</v>
      </c>
      <c r="T76" s="99">
        <v>7</v>
      </c>
      <c r="U76" s="99" t="s">
        <v>972</v>
      </c>
      <c r="V76" s="99">
        <v>6</v>
      </c>
      <c r="W76" s="99">
        <v>8</v>
      </c>
      <c r="X76" s="99" t="s">
        <v>972</v>
      </c>
      <c r="Y76" s="99" t="s">
        <v>972</v>
      </c>
      <c r="Z76" s="99" t="s">
        <v>972</v>
      </c>
      <c r="AA76" s="99" t="s">
        <v>972</v>
      </c>
      <c r="AB76" s="99" t="s">
        <v>972</v>
      </c>
      <c r="AC76" s="99" t="s">
        <v>972</v>
      </c>
      <c r="AD76" s="98" t="s">
        <v>181</v>
      </c>
      <c r="AE76" s="100">
        <v>0.16430769230769232</v>
      </c>
      <c r="AF76" s="100">
        <v>0.12</v>
      </c>
      <c r="AG76" s="98">
        <v>430.7692307692308</v>
      </c>
      <c r="AH76" s="98" t="s">
        <v>972</v>
      </c>
      <c r="AI76" s="100">
        <v>0.014199999999999999</v>
      </c>
      <c r="AJ76" s="100">
        <v>0.841346</v>
      </c>
      <c r="AK76" s="100">
        <v>0.781726</v>
      </c>
      <c r="AL76" s="100">
        <v>0.748148</v>
      </c>
      <c r="AM76" s="100">
        <v>0.704433</v>
      </c>
      <c r="AN76" s="100">
        <v>0.70297</v>
      </c>
      <c r="AO76" s="98">
        <v>2215.3846153846152</v>
      </c>
      <c r="AP76" s="157">
        <v>1.1355</v>
      </c>
      <c r="AQ76" s="100" t="s">
        <v>972</v>
      </c>
      <c r="AR76" s="100" t="s">
        <v>972</v>
      </c>
      <c r="AS76" s="98">
        <v>492.3076923076923</v>
      </c>
      <c r="AT76" s="98">
        <v>430.7692307692308</v>
      </c>
      <c r="AU76" s="98" t="s">
        <v>972</v>
      </c>
      <c r="AV76" s="98">
        <v>369.2307692307692</v>
      </c>
      <c r="AW76" s="98">
        <v>492.3076923076923</v>
      </c>
      <c r="AX76" s="98" t="s">
        <v>972</v>
      </c>
      <c r="AY76" s="98" t="s">
        <v>972</v>
      </c>
      <c r="AZ76" s="98" t="s">
        <v>972</v>
      </c>
      <c r="BA76" s="100" t="s">
        <v>972</v>
      </c>
      <c r="BB76" s="100" t="s">
        <v>972</v>
      </c>
      <c r="BC76" s="100" t="s">
        <v>972</v>
      </c>
      <c r="BD76" s="157">
        <v>0.7953</v>
      </c>
      <c r="BE76" s="157">
        <v>1.5719999999999998</v>
      </c>
      <c r="BF76" s="161">
        <v>208</v>
      </c>
      <c r="BG76" s="161">
        <v>197</v>
      </c>
      <c r="BH76" s="161">
        <v>405</v>
      </c>
      <c r="BI76" s="161">
        <v>203</v>
      </c>
      <c r="BJ76" s="161">
        <v>101</v>
      </c>
      <c r="BK76" s="97"/>
      <c r="BL76" s="97"/>
      <c r="BM76" s="97"/>
      <c r="BN76" s="97"/>
    </row>
    <row r="77" spans="1:66" ht="12.75">
      <c r="A77" s="79" t="s">
        <v>277</v>
      </c>
      <c r="B77" s="79" t="s">
        <v>61</v>
      </c>
      <c r="C77" s="79" t="s">
        <v>392</v>
      </c>
      <c r="D77" s="99">
        <v>9939</v>
      </c>
      <c r="E77" s="99">
        <v>1695</v>
      </c>
      <c r="F77" s="99" t="s">
        <v>202</v>
      </c>
      <c r="G77" s="99">
        <v>58</v>
      </c>
      <c r="H77" s="99">
        <v>34</v>
      </c>
      <c r="I77" s="99">
        <v>208</v>
      </c>
      <c r="J77" s="99">
        <v>1026</v>
      </c>
      <c r="K77" s="99">
        <v>905</v>
      </c>
      <c r="L77" s="99">
        <v>1887</v>
      </c>
      <c r="M77" s="99">
        <v>679</v>
      </c>
      <c r="N77" s="99">
        <v>327</v>
      </c>
      <c r="O77" s="99">
        <v>303</v>
      </c>
      <c r="P77" s="158">
        <v>303</v>
      </c>
      <c r="Q77" s="99">
        <v>31</v>
      </c>
      <c r="R77" s="99">
        <v>66</v>
      </c>
      <c r="S77" s="99">
        <v>54</v>
      </c>
      <c r="T77" s="99">
        <v>37</v>
      </c>
      <c r="U77" s="99">
        <v>17</v>
      </c>
      <c r="V77" s="99">
        <v>61</v>
      </c>
      <c r="W77" s="99">
        <v>68</v>
      </c>
      <c r="X77" s="99">
        <v>21</v>
      </c>
      <c r="Y77" s="99">
        <v>72</v>
      </c>
      <c r="Z77" s="99">
        <v>38</v>
      </c>
      <c r="AA77" s="99">
        <v>7</v>
      </c>
      <c r="AB77" s="99">
        <v>26</v>
      </c>
      <c r="AC77" s="99">
        <v>12</v>
      </c>
      <c r="AD77" s="98" t="s">
        <v>181</v>
      </c>
      <c r="AE77" s="100">
        <v>0.17054029580440688</v>
      </c>
      <c r="AF77" s="100">
        <v>0.15</v>
      </c>
      <c r="AG77" s="98">
        <v>583.5597142569675</v>
      </c>
      <c r="AH77" s="98">
        <v>342.0867290471879</v>
      </c>
      <c r="AI77" s="100">
        <v>0.0209</v>
      </c>
      <c r="AJ77" s="100">
        <v>0.835505</v>
      </c>
      <c r="AK77" s="100">
        <v>0.749172</v>
      </c>
      <c r="AL77" s="100">
        <v>0.781043</v>
      </c>
      <c r="AM77" s="100">
        <v>0.616152</v>
      </c>
      <c r="AN77" s="100">
        <v>0.613508</v>
      </c>
      <c r="AO77" s="98">
        <v>3048.5964382734683</v>
      </c>
      <c r="AP77" s="157">
        <v>1.5084</v>
      </c>
      <c r="AQ77" s="100">
        <v>0.10231023102310231</v>
      </c>
      <c r="AR77" s="100">
        <v>0.4696969696969697</v>
      </c>
      <c r="AS77" s="98">
        <v>543.3142167220042</v>
      </c>
      <c r="AT77" s="98">
        <v>372.2708521984103</v>
      </c>
      <c r="AU77" s="98">
        <v>171.04336452359394</v>
      </c>
      <c r="AV77" s="98">
        <v>613.74383740819</v>
      </c>
      <c r="AW77" s="98">
        <v>684.1734580943757</v>
      </c>
      <c r="AX77" s="98">
        <v>211.28886205855719</v>
      </c>
      <c r="AY77" s="98">
        <v>724.4189556293389</v>
      </c>
      <c r="AZ77" s="98">
        <v>382.3322265821511</v>
      </c>
      <c r="BA77" s="100">
        <v>0.15555555555555556</v>
      </c>
      <c r="BB77" s="100">
        <v>0.5777777777777777</v>
      </c>
      <c r="BC77" s="100">
        <v>0.26666666666666666</v>
      </c>
      <c r="BD77" s="157">
        <v>1.3433000000000002</v>
      </c>
      <c r="BE77" s="157">
        <v>1.6882</v>
      </c>
      <c r="BF77" s="161">
        <v>1228</v>
      </c>
      <c r="BG77" s="161">
        <v>1208</v>
      </c>
      <c r="BH77" s="161">
        <v>2416</v>
      </c>
      <c r="BI77" s="161">
        <v>1102</v>
      </c>
      <c r="BJ77" s="161">
        <v>533</v>
      </c>
      <c r="BK77" s="97"/>
      <c r="BL77" s="97"/>
      <c r="BM77" s="97"/>
      <c r="BN77" s="97"/>
    </row>
    <row r="78" spans="1:66" ht="12.75">
      <c r="A78" s="79" t="s">
        <v>369</v>
      </c>
      <c r="B78" s="79" t="s">
        <v>171</v>
      </c>
      <c r="C78" s="79" t="s">
        <v>392</v>
      </c>
      <c r="D78" s="99">
        <v>14645</v>
      </c>
      <c r="E78" s="99">
        <v>1254</v>
      </c>
      <c r="F78" s="99" t="s">
        <v>201</v>
      </c>
      <c r="G78" s="99">
        <v>51</v>
      </c>
      <c r="H78" s="99">
        <v>19</v>
      </c>
      <c r="I78" s="99">
        <v>181</v>
      </c>
      <c r="J78" s="99">
        <v>639</v>
      </c>
      <c r="K78" s="99">
        <v>19</v>
      </c>
      <c r="L78" s="99">
        <v>1929</v>
      </c>
      <c r="M78" s="99">
        <v>421</v>
      </c>
      <c r="N78" s="99">
        <v>206</v>
      </c>
      <c r="O78" s="99">
        <v>306</v>
      </c>
      <c r="P78" s="158">
        <v>306</v>
      </c>
      <c r="Q78" s="99">
        <v>40</v>
      </c>
      <c r="R78" s="99">
        <v>56</v>
      </c>
      <c r="S78" s="99">
        <v>43</v>
      </c>
      <c r="T78" s="99">
        <v>37</v>
      </c>
      <c r="U78" s="99">
        <v>8</v>
      </c>
      <c r="V78" s="99">
        <v>105</v>
      </c>
      <c r="W78" s="99">
        <v>52</v>
      </c>
      <c r="X78" s="99">
        <v>18</v>
      </c>
      <c r="Y78" s="99">
        <v>53</v>
      </c>
      <c r="Z78" s="99">
        <v>28</v>
      </c>
      <c r="AA78" s="99" t="s">
        <v>972</v>
      </c>
      <c r="AB78" s="99">
        <v>16</v>
      </c>
      <c r="AC78" s="99" t="s">
        <v>972</v>
      </c>
      <c r="AD78" s="98" t="s">
        <v>181</v>
      </c>
      <c r="AE78" s="100">
        <v>0.08562649368385114</v>
      </c>
      <c r="AF78" s="100">
        <v>0.11</v>
      </c>
      <c r="AG78" s="98">
        <v>348.2417207237965</v>
      </c>
      <c r="AH78" s="98">
        <v>129.7371116421987</v>
      </c>
      <c r="AI78" s="100">
        <v>0.0124</v>
      </c>
      <c r="AJ78" s="100">
        <v>0.739583</v>
      </c>
      <c r="AK78" s="100">
        <v>0.791667</v>
      </c>
      <c r="AL78" s="100">
        <v>0.799751</v>
      </c>
      <c r="AM78" s="100">
        <v>0.622781</v>
      </c>
      <c r="AN78" s="100">
        <v>0.605882</v>
      </c>
      <c r="AO78" s="98">
        <v>2089.450324342779</v>
      </c>
      <c r="AP78" s="157">
        <v>1.5906</v>
      </c>
      <c r="AQ78" s="100">
        <v>0.13071895424836602</v>
      </c>
      <c r="AR78" s="100">
        <v>0.7142857142857143</v>
      </c>
      <c r="AS78" s="98">
        <v>293.6155684533971</v>
      </c>
      <c r="AT78" s="98">
        <v>252.64595425059747</v>
      </c>
      <c r="AU78" s="98">
        <v>54.62615227039945</v>
      </c>
      <c r="AV78" s="98">
        <v>716.9682485489928</v>
      </c>
      <c r="AW78" s="98">
        <v>355.06998975759643</v>
      </c>
      <c r="AX78" s="98">
        <v>122.90884260839877</v>
      </c>
      <c r="AY78" s="98">
        <v>361.89825879139636</v>
      </c>
      <c r="AZ78" s="98">
        <v>191.1915329463981</v>
      </c>
      <c r="BA78" s="100" t="s">
        <v>972</v>
      </c>
      <c r="BB78" s="100">
        <v>0.5714285714285714</v>
      </c>
      <c r="BC78" s="100" t="s">
        <v>972</v>
      </c>
      <c r="BD78" s="157">
        <v>1.4174</v>
      </c>
      <c r="BE78" s="157">
        <v>1.7792</v>
      </c>
      <c r="BF78" s="161">
        <v>864</v>
      </c>
      <c r="BG78" s="161">
        <v>24</v>
      </c>
      <c r="BH78" s="161">
        <v>2412</v>
      </c>
      <c r="BI78" s="161">
        <v>676</v>
      </c>
      <c r="BJ78" s="161">
        <v>340</v>
      </c>
      <c r="BK78" s="97"/>
      <c r="BL78" s="97"/>
      <c r="BM78" s="97"/>
      <c r="BN78" s="97"/>
    </row>
    <row r="79" spans="1:66" ht="12.75">
      <c r="A79" s="79" t="s">
        <v>295</v>
      </c>
      <c r="B79" s="79" t="s">
        <v>83</v>
      </c>
      <c r="C79" s="79" t="s">
        <v>392</v>
      </c>
      <c r="D79" s="99">
        <v>9284</v>
      </c>
      <c r="E79" s="99">
        <v>1910</v>
      </c>
      <c r="F79" s="99" t="s">
        <v>201</v>
      </c>
      <c r="G79" s="99">
        <v>46</v>
      </c>
      <c r="H79" s="99">
        <v>20</v>
      </c>
      <c r="I79" s="99">
        <v>165</v>
      </c>
      <c r="J79" s="99">
        <v>964</v>
      </c>
      <c r="K79" s="99">
        <v>571</v>
      </c>
      <c r="L79" s="99">
        <v>1763</v>
      </c>
      <c r="M79" s="99">
        <v>730</v>
      </c>
      <c r="N79" s="99">
        <v>353</v>
      </c>
      <c r="O79" s="99">
        <v>125</v>
      </c>
      <c r="P79" s="158">
        <v>125</v>
      </c>
      <c r="Q79" s="99">
        <v>19</v>
      </c>
      <c r="R79" s="99">
        <v>48</v>
      </c>
      <c r="S79" s="99">
        <v>35</v>
      </c>
      <c r="T79" s="99">
        <v>18</v>
      </c>
      <c r="U79" s="99" t="s">
        <v>972</v>
      </c>
      <c r="V79" s="99">
        <v>17</v>
      </c>
      <c r="W79" s="99">
        <v>58</v>
      </c>
      <c r="X79" s="99">
        <v>26</v>
      </c>
      <c r="Y79" s="99">
        <v>87</v>
      </c>
      <c r="Z79" s="99">
        <v>59</v>
      </c>
      <c r="AA79" s="99">
        <v>15</v>
      </c>
      <c r="AB79" s="99">
        <v>17</v>
      </c>
      <c r="AC79" s="99">
        <v>22</v>
      </c>
      <c r="AD79" s="98" t="s">
        <v>181</v>
      </c>
      <c r="AE79" s="100">
        <v>0.2057302886686773</v>
      </c>
      <c r="AF79" s="100">
        <v>0.09</v>
      </c>
      <c r="AG79" s="98">
        <v>495.4760878931495</v>
      </c>
      <c r="AH79" s="98">
        <v>215.4243860404998</v>
      </c>
      <c r="AI79" s="100">
        <v>0.0178</v>
      </c>
      <c r="AJ79" s="100">
        <v>0.779935</v>
      </c>
      <c r="AK79" s="100">
        <v>0.755291</v>
      </c>
      <c r="AL79" s="100">
        <v>0.764196</v>
      </c>
      <c r="AM79" s="100">
        <v>0.64204</v>
      </c>
      <c r="AN79" s="100">
        <v>0.645338</v>
      </c>
      <c r="AO79" s="98">
        <v>1346.4024127531236</v>
      </c>
      <c r="AP79" s="157">
        <v>0.5992999999999999</v>
      </c>
      <c r="AQ79" s="100">
        <v>0.152</v>
      </c>
      <c r="AR79" s="100">
        <v>0.3958333333333333</v>
      </c>
      <c r="AS79" s="98">
        <v>376.9926755708746</v>
      </c>
      <c r="AT79" s="98">
        <v>193.8819474364498</v>
      </c>
      <c r="AU79" s="98" t="s">
        <v>972</v>
      </c>
      <c r="AV79" s="98">
        <v>183.11072813442482</v>
      </c>
      <c r="AW79" s="98">
        <v>624.7307195174494</v>
      </c>
      <c r="AX79" s="98">
        <v>280.0517018526497</v>
      </c>
      <c r="AY79" s="98">
        <v>937.096079276174</v>
      </c>
      <c r="AZ79" s="98">
        <v>635.5019388194744</v>
      </c>
      <c r="BA79" s="100">
        <v>0.2777777777777778</v>
      </c>
      <c r="BB79" s="100">
        <v>0.3148148148148148</v>
      </c>
      <c r="BC79" s="100">
        <v>0.4074074074074074</v>
      </c>
      <c r="BD79" s="157">
        <v>0.4989</v>
      </c>
      <c r="BE79" s="157">
        <v>0.7141</v>
      </c>
      <c r="BF79" s="161">
        <v>1236</v>
      </c>
      <c r="BG79" s="161">
        <v>756</v>
      </c>
      <c r="BH79" s="161">
        <v>2307</v>
      </c>
      <c r="BI79" s="161">
        <v>1137</v>
      </c>
      <c r="BJ79" s="161">
        <v>547</v>
      </c>
      <c r="BK79" s="97"/>
      <c r="BL79" s="97"/>
      <c r="BM79" s="97"/>
      <c r="BN79" s="97"/>
    </row>
    <row r="80" spans="1:66" ht="12.75">
      <c r="A80" s="79" t="s">
        <v>348</v>
      </c>
      <c r="B80" s="79" t="s">
        <v>147</v>
      </c>
      <c r="C80" s="79" t="s">
        <v>392</v>
      </c>
      <c r="D80" s="99">
        <v>6245</v>
      </c>
      <c r="E80" s="99">
        <v>1306</v>
      </c>
      <c r="F80" s="99" t="s">
        <v>201</v>
      </c>
      <c r="G80" s="99">
        <v>37</v>
      </c>
      <c r="H80" s="99">
        <v>21</v>
      </c>
      <c r="I80" s="99">
        <v>178</v>
      </c>
      <c r="J80" s="99">
        <v>776</v>
      </c>
      <c r="K80" s="99">
        <v>761</v>
      </c>
      <c r="L80" s="99">
        <v>1288</v>
      </c>
      <c r="M80" s="99">
        <v>636</v>
      </c>
      <c r="N80" s="99">
        <v>324</v>
      </c>
      <c r="O80" s="99">
        <v>230</v>
      </c>
      <c r="P80" s="158">
        <v>230</v>
      </c>
      <c r="Q80" s="99">
        <v>25</v>
      </c>
      <c r="R80" s="99">
        <v>51</v>
      </c>
      <c r="S80" s="99">
        <v>44</v>
      </c>
      <c r="T80" s="99">
        <v>42</v>
      </c>
      <c r="U80" s="99">
        <v>6</v>
      </c>
      <c r="V80" s="99">
        <v>55</v>
      </c>
      <c r="W80" s="99">
        <v>79</v>
      </c>
      <c r="X80" s="99">
        <v>11</v>
      </c>
      <c r="Y80" s="99">
        <v>58</v>
      </c>
      <c r="Z80" s="99">
        <v>32</v>
      </c>
      <c r="AA80" s="99">
        <v>9</v>
      </c>
      <c r="AB80" s="99">
        <v>26</v>
      </c>
      <c r="AC80" s="99">
        <v>7</v>
      </c>
      <c r="AD80" s="98" t="s">
        <v>181</v>
      </c>
      <c r="AE80" s="100">
        <v>0.20912730184147318</v>
      </c>
      <c r="AF80" s="100">
        <v>0.08</v>
      </c>
      <c r="AG80" s="98">
        <v>592.4739791833467</v>
      </c>
      <c r="AH80" s="98">
        <v>336.26901521216973</v>
      </c>
      <c r="AI80" s="100">
        <v>0.0285</v>
      </c>
      <c r="AJ80" s="100">
        <v>0.806653</v>
      </c>
      <c r="AK80" s="100">
        <v>0.795193</v>
      </c>
      <c r="AL80" s="100">
        <v>0.838542</v>
      </c>
      <c r="AM80" s="100">
        <v>0.731876</v>
      </c>
      <c r="AN80" s="100">
        <v>0.704348</v>
      </c>
      <c r="AO80" s="98">
        <v>3682.9463570856688</v>
      </c>
      <c r="AP80" s="157">
        <v>1.614</v>
      </c>
      <c r="AQ80" s="100">
        <v>0.10869565217391304</v>
      </c>
      <c r="AR80" s="100">
        <v>0.49019607843137253</v>
      </c>
      <c r="AS80" s="98">
        <v>704.5636509207366</v>
      </c>
      <c r="AT80" s="98">
        <v>672.5380304243395</v>
      </c>
      <c r="AU80" s="98">
        <v>96.07686148919136</v>
      </c>
      <c r="AV80" s="98">
        <v>880.7045636509207</v>
      </c>
      <c r="AW80" s="98">
        <v>1265.0120096076862</v>
      </c>
      <c r="AX80" s="98">
        <v>176.14091273018414</v>
      </c>
      <c r="AY80" s="98">
        <v>928.7429943955165</v>
      </c>
      <c r="AZ80" s="98">
        <v>512.4099279423539</v>
      </c>
      <c r="BA80" s="100">
        <v>0.21428571428571427</v>
      </c>
      <c r="BB80" s="100">
        <v>0.6190476190476191</v>
      </c>
      <c r="BC80" s="100">
        <v>0.16666666666666666</v>
      </c>
      <c r="BD80" s="157">
        <v>1.4121000000000001</v>
      </c>
      <c r="BE80" s="157">
        <v>1.8366</v>
      </c>
      <c r="BF80" s="161">
        <v>962</v>
      </c>
      <c r="BG80" s="161">
        <v>957</v>
      </c>
      <c r="BH80" s="161">
        <v>1536</v>
      </c>
      <c r="BI80" s="161">
        <v>869</v>
      </c>
      <c r="BJ80" s="161">
        <v>460</v>
      </c>
      <c r="BK80" s="97"/>
      <c r="BL80" s="97"/>
      <c r="BM80" s="97"/>
      <c r="BN80" s="97"/>
    </row>
    <row r="81" spans="1:66" ht="12.75">
      <c r="A81" s="79" t="s">
        <v>975</v>
      </c>
      <c r="B81" s="79" t="s">
        <v>58</v>
      </c>
      <c r="C81" s="79" t="s">
        <v>392</v>
      </c>
      <c r="D81" s="99">
        <v>7783</v>
      </c>
      <c r="E81" s="99">
        <v>1323</v>
      </c>
      <c r="F81" s="99" t="s">
        <v>199</v>
      </c>
      <c r="G81" s="99">
        <v>32</v>
      </c>
      <c r="H81" s="99">
        <v>29</v>
      </c>
      <c r="I81" s="99">
        <v>111</v>
      </c>
      <c r="J81" s="99">
        <v>798</v>
      </c>
      <c r="K81" s="99">
        <v>720</v>
      </c>
      <c r="L81" s="99">
        <v>1493</v>
      </c>
      <c r="M81" s="99">
        <v>527</v>
      </c>
      <c r="N81" s="99">
        <v>247</v>
      </c>
      <c r="O81" s="99">
        <v>190</v>
      </c>
      <c r="P81" s="158">
        <v>190</v>
      </c>
      <c r="Q81" s="99">
        <v>15</v>
      </c>
      <c r="R81" s="99">
        <v>33</v>
      </c>
      <c r="S81" s="99">
        <v>28</v>
      </c>
      <c r="T81" s="99">
        <v>51</v>
      </c>
      <c r="U81" s="99" t="s">
        <v>972</v>
      </c>
      <c r="V81" s="99">
        <v>30</v>
      </c>
      <c r="W81" s="99">
        <v>40</v>
      </c>
      <c r="X81" s="99">
        <v>44</v>
      </c>
      <c r="Y81" s="99">
        <v>61</v>
      </c>
      <c r="Z81" s="99">
        <v>55</v>
      </c>
      <c r="AA81" s="99">
        <v>11</v>
      </c>
      <c r="AB81" s="99">
        <v>18</v>
      </c>
      <c r="AC81" s="99">
        <v>8</v>
      </c>
      <c r="AD81" s="98" t="s">
        <v>181</v>
      </c>
      <c r="AE81" s="100">
        <v>0.16998586663240395</v>
      </c>
      <c r="AF81" s="100">
        <v>0.16</v>
      </c>
      <c r="AG81" s="98">
        <v>411.1525118848773</v>
      </c>
      <c r="AH81" s="98">
        <v>372.60696389567005</v>
      </c>
      <c r="AI81" s="100">
        <v>0.0143</v>
      </c>
      <c r="AJ81" s="100">
        <v>0.800401</v>
      </c>
      <c r="AK81" s="100">
        <v>0.750782</v>
      </c>
      <c r="AL81" s="100">
        <v>0.773976</v>
      </c>
      <c r="AM81" s="100">
        <v>0.575956</v>
      </c>
      <c r="AN81" s="100">
        <v>0.563927</v>
      </c>
      <c r="AO81" s="98">
        <v>2441.218039316459</v>
      </c>
      <c r="AP81" s="157">
        <v>1.2001</v>
      </c>
      <c r="AQ81" s="100">
        <v>0.07894736842105263</v>
      </c>
      <c r="AR81" s="100">
        <v>0.45454545454545453</v>
      </c>
      <c r="AS81" s="98">
        <v>359.75844789926765</v>
      </c>
      <c r="AT81" s="98">
        <v>655.2743158165232</v>
      </c>
      <c r="AU81" s="98" t="s">
        <v>972</v>
      </c>
      <c r="AV81" s="98">
        <v>385.45547989207245</v>
      </c>
      <c r="AW81" s="98">
        <v>513.9406398560966</v>
      </c>
      <c r="AX81" s="98">
        <v>565.3347038417063</v>
      </c>
      <c r="AY81" s="98">
        <v>783.7594757805473</v>
      </c>
      <c r="AZ81" s="98">
        <v>706.6683798021329</v>
      </c>
      <c r="BA81" s="100">
        <v>0.2972972972972973</v>
      </c>
      <c r="BB81" s="100">
        <v>0.4864864864864865</v>
      </c>
      <c r="BC81" s="100">
        <v>0.21621621621621623</v>
      </c>
      <c r="BD81" s="157">
        <v>1.0354999999999999</v>
      </c>
      <c r="BE81" s="157">
        <v>1.3834</v>
      </c>
      <c r="BF81" s="161">
        <v>997</v>
      </c>
      <c r="BG81" s="161">
        <v>959</v>
      </c>
      <c r="BH81" s="161">
        <v>1929</v>
      </c>
      <c r="BI81" s="161">
        <v>915</v>
      </c>
      <c r="BJ81" s="161">
        <v>438</v>
      </c>
      <c r="BK81" s="97"/>
      <c r="BL81" s="97"/>
      <c r="BM81" s="97"/>
      <c r="BN81" s="97"/>
    </row>
    <row r="82" spans="1:66" ht="12.75">
      <c r="A82" s="79" t="s">
        <v>362</v>
      </c>
      <c r="B82" s="79" t="s">
        <v>162</v>
      </c>
      <c r="C82" s="79" t="s">
        <v>392</v>
      </c>
      <c r="D82" s="99">
        <v>4054</v>
      </c>
      <c r="E82" s="99">
        <v>882</v>
      </c>
      <c r="F82" s="99" t="s">
        <v>201</v>
      </c>
      <c r="G82" s="99">
        <v>34</v>
      </c>
      <c r="H82" s="99" t="s">
        <v>972</v>
      </c>
      <c r="I82" s="99">
        <v>88</v>
      </c>
      <c r="J82" s="99">
        <v>491</v>
      </c>
      <c r="K82" s="99">
        <v>6</v>
      </c>
      <c r="L82" s="99">
        <v>816</v>
      </c>
      <c r="M82" s="99">
        <v>385</v>
      </c>
      <c r="N82" s="99">
        <v>212</v>
      </c>
      <c r="O82" s="99">
        <v>75</v>
      </c>
      <c r="P82" s="158">
        <v>75</v>
      </c>
      <c r="Q82" s="99">
        <v>16</v>
      </c>
      <c r="R82" s="99">
        <v>21</v>
      </c>
      <c r="S82" s="99">
        <v>20</v>
      </c>
      <c r="T82" s="99" t="s">
        <v>972</v>
      </c>
      <c r="U82" s="99" t="s">
        <v>972</v>
      </c>
      <c r="V82" s="99">
        <v>23</v>
      </c>
      <c r="W82" s="99">
        <v>30</v>
      </c>
      <c r="X82" s="99">
        <v>13</v>
      </c>
      <c r="Y82" s="99">
        <v>41</v>
      </c>
      <c r="Z82" s="99">
        <v>24</v>
      </c>
      <c r="AA82" s="99" t="s">
        <v>972</v>
      </c>
      <c r="AB82" s="99">
        <v>11</v>
      </c>
      <c r="AC82" s="99" t="s">
        <v>972</v>
      </c>
      <c r="AD82" s="98" t="s">
        <v>181</v>
      </c>
      <c r="AE82" s="100">
        <v>0.21756290083867785</v>
      </c>
      <c r="AF82" s="100">
        <v>0.09</v>
      </c>
      <c r="AG82" s="98">
        <v>838.6778490379871</v>
      </c>
      <c r="AH82" s="98" t="s">
        <v>972</v>
      </c>
      <c r="AI82" s="100">
        <v>0.0217</v>
      </c>
      <c r="AJ82" s="100">
        <v>0.818333</v>
      </c>
      <c r="AK82" s="100">
        <v>0.75</v>
      </c>
      <c r="AL82" s="100">
        <v>0.823411</v>
      </c>
      <c r="AM82" s="100">
        <v>0.69873</v>
      </c>
      <c r="AN82" s="100">
        <v>0.69281</v>
      </c>
      <c r="AO82" s="98">
        <v>1850.02466699556</v>
      </c>
      <c r="AP82" s="157">
        <v>0.7861</v>
      </c>
      <c r="AQ82" s="100">
        <v>0.21333333333333335</v>
      </c>
      <c r="AR82" s="100">
        <v>0.7619047619047619</v>
      </c>
      <c r="AS82" s="98">
        <v>493.33991119881597</v>
      </c>
      <c r="AT82" s="98" t="s">
        <v>972</v>
      </c>
      <c r="AU82" s="98" t="s">
        <v>972</v>
      </c>
      <c r="AV82" s="98">
        <v>567.3408978786384</v>
      </c>
      <c r="AW82" s="98">
        <v>740.0098667982239</v>
      </c>
      <c r="AX82" s="98">
        <v>320.6709422792304</v>
      </c>
      <c r="AY82" s="98">
        <v>1011.3468179575727</v>
      </c>
      <c r="AZ82" s="98">
        <v>592.0078934385792</v>
      </c>
      <c r="BA82" s="100" t="s">
        <v>972</v>
      </c>
      <c r="BB82" s="100">
        <v>0.55</v>
      </c>
      <c r="BC82" s="100" t="s">
        <v>972</v>
      </c>
      <c r="BD82" s="157">
        <v>0.6183</v>
      </c>
      <c r="BE82" s="157">
        <v>0.9854</v>
      </c>
      <c r="BF82" s="161">
        <v>600</v>
      </c>
      <c r="BG82" s="161">
        <v>8</v>
      </c>
      <c r="BH82" s="161">
        <v>991</v>
      </c>
      <c r="BI82" s="161">
        <v>551</v>
      </c>
      <c r="BJ82" s="161">
        <v>306</v>
      </c>
      <c r="BK82" s="97"/>
      <c r="BL82" s="97"/>
      <c r="BM82" s="97"/>
      <c r="BN82" s="97"/>
    </row>
    <row r="83" spans="1:66" ht="12.75">
      <c r="A83" s="79" t="s">
        <v>327</v>
      </c>
      <c r="B83" s="79" t="s">
        <v>121</v>
      </c>
      <c r="C83" s="79" t="s">
        <v>392</v>
      </c>
      <c r="D83" s="99">
        <v>4347</v>
      </c>
      <c r="E83" s="99">
        <v>1318</v>
      </c>
      <c r="F83" s="99" t="s">
        <v>201</v>
      </c>
      <c r="G83" s="99">
        <v>34</v>
      </c>
      <c r="H83" s="99">
        <v>16</v>
      </c>
      <c r="I83" s="99">
        <v>185</v>
      </c>
      <c r="J83" s="99">
        <v>642</v>
      </c>
      <c r="K83" s="99">
        <v>636</v>
      </c>
      <c r="L83" s="99">
        <v>767</v>
      </c>
      <c r="M83" s="99">
        <v>524</v>
      </c>
      <c r="N83" s="99">
        <v>274</v>
      </c>
      <c r="O83" s="99">
        <v>170</v>
      </c>
      <c r="P83" s="158">
        <v>170</v>
      </c>
      <c r="Q83" s="99">
        <v>26</v>
      </c>
      <c r="R83" s="99">
        <v>50</v>
      </c>
      <c r="S83" s="99">
        <v>27</v>
      </c>
      <c r="T83" s="99">
        <v>37</v>
      </c>
      <c r="U83" s="99" t="s">
        <v>972</v>
      </c>
      <c r="V83" s="99">
        <v>39</v>
      </c>
      <c r="W83" s="99">
        <v>50</v>
      </c>
      <c r="X83" s="99" t="s">
        <v>972</v>
      </c>
      <c r="Y83" s="99">
        <v>33</v>
      </c>
      <c r="Z83" s="99">
        <v>35</v>
      </c>
      <c r="AA83" s="99">
        <v>8</v>
      </c>
      <c r="AB83" s="99">
        <v>28</v>
      </c>
      <c r="AC83" s="99">
        <v>13</v>
      </c>
      <c r="AD83" s="98" t="s">
        <v>181</v>
      </c>
      <c r="AE83" s="100">
        <v>0.3031976075454336</v>
      </c>
      <c r="AF83" s="100">
        <v>0.11</v>
      </c>
      <c r="AG83" s="98">
        <v>782.1486082355648</v>
      </c>
      <c r="AH83" s="98">
        <v>368.0699332873246</v>
      </c>
      <c r="AI83" s="100">
        <v>0.0426</v>
      </c>
      <c r="AJ83" s="100">
        <v>0.83053</v>
      </c>
      <c r="AK83" s="100">
        <v>0.827048</v>
      </c>
      <c r="AL83" s="100">
        <v>0.803141</v>
      </c>
      <c r="AM83" s="100">
        <v>0.681404</v>
      </c>
      <c r="AN83" s="100">
        <v>0.717277</v>
      </c>
      <c r="AO83" s="98">
        <v>3910.7430411778237</v>
      </c>
      <c r="AP83" s="157">
        <v>1.4213999999999998</v>
      </c>
      <c r="AQ83" s="100">
        <v>0.15294117647058825</v>
      </c>
      <c r="AR83" s="100">
        <v>0.52</v>
      </c>
      <c r="AS83" s="98">
        <v>621.1180124223603</v>
      </c>
      <c r="AT83" s="98">
        <v>851.1617207269381</v>
      </c>
      <c r="AU83" s="98" t="s">
        <v>972</v>
      </c>
      <c r="AV83" s="98">
        <v>897.1704623878537</v>
      </c>
      <c r="AW83" s="98">
        <v>1150.2185415228894</v>
      </c>
      <c r="AX83" s="98" t="s">
        <v>972</v>
      </c>
      <c r="AY83" s="98">
        <v>759.144237405107</v>
      </c>
      <c r="AZ83" s="98">
        <v>805.1529790660226</v>
      </c>
      <c r="BA83" s="100">
        <v>0.16326530612244897</v>
      </c>
      <c r="BB83" s="100">
        <v>0.5714285714285714</v>
      </c>
      <c r="BC83" s="100">
        <v>0.2653061224489796</v>
      </c>
      <c r="BD83" s="157">
        <v>1.2158</v>
      </c>
      <c r="BE83" s="157">
        <v>1.6519</v>
      </c>
      <c r="BF83" s="161">
        <v>773</v>
      </c>
      <c r="BG83" s="161">
        <v>769</v>
      </c>
      <c r="BH83" s="161">
        <v>955</v>
      </c>
      <c r="BI83" s="161">
        <v>769</v>
      </c>
      <c r="BJ83" s="161">
        <v>382</v>
      </c>
      <c r="BK83" s="97"/>
      <c r="BL83" s="97"/>
      <c r="BM83" s="97"/>
      <c r="BN83" s="97"/>
    </row>
    <row r="84" spans="1:66" ht="12.75">
      <c r="A84" s="79" t="s">
        <v>298</v>
      </c>
      <c r="B84" s="79" t="s">
        <v>88</v>
      </c>
      <c r="C84" s="79" t="s">
        <v>392</v>
      </c>
      <c r="D84" s="99">
        <v>9851</v>
      </c>
      <c r="E84" s="99">
        <v>2545</v>
      </c>
      <c r="F84" s="99" t="s">
        <v>201</v>
      </c>
      <c r="G84" s="99">
        <v>60</v>
      </c>
      <c r="H84" s="99">
        <v>23</v>
      </c>
      <c r="I84" s="99">
        <v>305</v>
      </c>
      <c r="J84" s="99">
        <v>1270</v>
      </c>
      <c r="K84" s="99">
        <v>14</v>
      </c>
      <c r="L84" s="99">
        <v>1848</v>
      </c>
      <c r="M84" s="99">
        <v>991</v>
      </c>
      <c r="N84" s="99">
        <v>484</v>
      </c>
      <c r="O84" s="99">
        <v>279</v>
      </c>
      <c r="P84" s="158">
        <v>279</v>
      </c>
      <c r="Q84" s="99">
        <v>34</v>
      </c>
      <c r="R84" s="99">
        <v>73</v>
      </c>
      <c r="S84" s="99">
        <v>29</v>
      </c>
      <c r="T84" s="99">
        <v>56</v>
      </c>
      <c r="U84" s="99">
        <v>13</v>
      </c>
      <c r="V84" s="99">
        <v>49</v>
      </c>
      <c r="W84" s="99">
        <v>106</v>
      </c>
      <c r="X84" s="99">
        <v>14</v>
      </c>
      <c r="Y84" s="99">
        <v>73</v>
      </c>
      <c r="Z84" s="99">
        <v>54</v>
      </c>
      <c r="AA84" s="99">
        <v>17</v>
      </c>
      <c r="AB84" s="99">
        <v>39</v>
      </c>
      <c r="AC84" s="99">
        <v>16</v>
      </c>
      <c r="AD84" s="98" t="s">
        <v>181</v>
      </c>
      <c r="AE84" s="100">
        <v>0.25834940615165974</v>
      </c>
      <c r="AF84" s="100">
        <v>0.1</v>
      </c>
      <c r="AG84" s="98">
        <v>609.0752207897675</v>
      </c>
      <c r="AH84" s="98">
        <v>233.47883463607755</v>
      </c>
      <c r="AI84" s="100">
        <v>0.031</v>
      </c>
      <c r="AJ84" s="100">
        <v>0.827901</v>
      </c>
      <c r="AK84" s="100">
        <v>0.7</v>
      </c>
      <c r="AL84" s="100">
        <v>0.804878</v>
      </c>
      <c r="AM84" s="100">
        <v>0.682977</v>
      </c>
      <c r="AN84" s="100">
        <v>0.648794</v>
      </c>
      <c r="AO84" s="98">
        <v>2832.199776672419</v>
      </c>
      <c r="AP84" s="157">
        <v>1.1459000000000001</v>
      </c>
      <c r="AQ84" s="100">
        <v>0.12186379928315412</v>
      </c>
      <c r="AR84" s="100">
        <v>0.4657534246575342</v>
      </c>
      <c r="AS84" s="98">
        <v>294.3863567150543</v>
      </c>
      <c r="AT84" s="98">
        <v>568.4702060704496</v>
      </c>
      <c r="AU84" s="98">
        <v>131.96629783778297</v>
      </c>
      <c r="AV84" s="98">
        <v>497.41143031164347</v>
      </c>
      <c r="AW84" s="98">
        <v>1076.0328900619227</v>
      </c>
      <c r="AX84" s="98">
        <v>142.1175515176124</v>
      </c>
      <c r="AY84" s="98">
        <v>741.0415186275505</v>
      </c>
      <c r="AZ84" s="98">
        <v>548.1676987107908</v>
      </c>
      <c r="BA84" s="100">
        <v>0.2361111111111111</v>
      </c>
      <c r="BB84" s="100">
        <v>0.5416666666666666</v>
      </c>
      <c r="BC84" s="100">
        <v>0.2222222222222222</v>
      </c>
      <c r="BD84" s="157">
        <v>1.0154</v>
      </c>
      <c r="BE84" s="157">
        <v>1.2886000000000002</v>
      </c>
      <c r="BF84" s="161">
        <v>1534</v>
      </c>
      <c r="BG84" s="161">
        <v>20</v>
      </c>
      <c r="BH84" s="161">
        <v>2296</v>
      </c>
      <c r="BI84" s="161">
        <v>1451</v>
      </c>
      <c r="BJ84" s="161">
        <v>746</v>
      </c>
      <c r="BK84" s="97"/>
      <c r="BL84" s="97"/>
      <c r="BM84" s="97"/>
      <c r="BN84" s="97"/>
    </row>
    <row r="85" spans="1:66" ht="12.75">
      <c r="A85" s="79" t="s">
        <v>302</v>
      </c>
      <c r="B85" s="79" t="s">
        <v>92</v>
      </c>
      <c r="C85" s="79" t="s">
        <v>392</v>
      </c>
      <c r="D85" s="99">
        <v>11847</v>
      </c>
      <c r="E85" s="99">
        <v>3096</v>
      </c>
      <c r="F85" s="99" t="s">
        <v>201</v>
      </c>
      <c r="G85" s="99">
        <v>83</v>
      </c>
      <c r="H85" s="99">
        <v>48</v>
      </c>
      <c r="I85" s="99">
        <v>269</v>
      </c>
      <c r="J85" s="99">
        <v>1298</v>
      </c>
      <c r="K85" s="99">
        <v>16</v>
      </c>
      <c r="L85" s="99">
        <v>2129</v>
      </c>
      <c r="M85" s="99">
        <v>1037</v>
      </c>
      <c r="N85" s="99">
        <v>512</v>
      </c>
      <c r="O85" s="99">
        <v>320</v>
      </c>
      <c r="P85" s="158">
        <v>320</v>
      </c>
      <c r="Q85" s="99">
        <v>50</v>
      </c>
      <c r="R85" s="99">
        <v>89</v>
      </c>
      <c r="S85" s="99">
        <v>63</v>
      </c>
      <c r="T85" s="99">
        <v>42</v>
      </c>
      <c r="U85" s="99">
        <v>7</v>
      </c>
      <c r="V85" s="99">
        <v>70</v>
      </c>
      <c r="W85" s="99">
        <v>96</v>
      </c>
      <c r="X85" s="99">
        <v>41</v>
      </c>
      <c r="Y85" s="99">
        <v>131</v>
      </c>
      <c r="Z85" s="99">
        <v>88</v>
      </c>
      <c r="AA85" s="99">
        <v>14</v>
      </c>
      <c r="AB85" s="99">
        <v>30</v>
      </c>
      <c r="AC85" s="99">
        <v>20</v>
      </c>
      <c r="AD85" s="98" t="s">
        <v>181</v>
      </c>
      <c r="AE85" s="100">
        <v>0.2613319827804507</v>
      </c>
      <c r="AF85" s="100">
        <v>0.11</v>
      </c>
      <c r="AG85" s="98">
        <v>700.5993078416477</v>
      </c>
      <c r="AH85" s="98">
        <v>405.16586477589266</v>
      </c>
      <c r="AI85" s="100">
        <v>0.0227</v>
      </c>
      <c r="AJ85" s="100">
        <v>0.772159</v>
      </c>
      <c r="AK85" s="100">
        <v>0.64</v>
      </c>
      <c r="AL85" s="100">
        <v>0.797976</v>
      </c>
      <c r="AM85" s="100">
        <v>0.650973</v>
      </c>
      <c r="AN85" s="100">
        <v>0.637609</v>
      </c>
      <c r="AO85" s="98">
        <v>2701.1057651726173</v>
      </c>
      <c r="AP85" s="157">
        <v>1.0909</v>
      </c>
      <c r="AQ85" s="100">
        <v>0.15625</v>
      </c>
      <c r="AR85" s="100">
        <v>0.5617977528089888</v>
      </c>
      <c r="AS85" s="98">
        <v>531.780197518359</v>
      </c>
      <c r="AT85" s="98">
        <v>354.52013167890607</v>
      </c>
      <c r="AU85" s="98">
        <v>59.08668861315101</v>
      </c>
      <c r="AV85" s="98">
        <v>590.8668861315101</v>
      </c>
      <c r="AW85" s="98">
        <v>810.3317295517853</v>
      </c>
      <c r="AX85" s="98">
        <v>346.07917616274165</v>
      </c>
      <c r="AY85" s="98">
        <v>1105.7651726175402</v>
      </c>
      <c r="AZ85" s="98">
        <v>742.8040854224698</v>
      </c>
      <c r="BA85" s="100">
        <v>0.21875</v>
      </c>
      <c r="BB85" s="100">
        <v>0.46875</v>
      </c>
      <c r="BC85" s="100">
        <v>0.3125</v>
      </c>
      <c r="BD85" s="157">
        <v>0.9747</v>
      </c>
      <c r="BE85" s="157">
        <v>1.2172</v>
      </c>
      <c r="BF85" s="161">
        <v>1681</v>
      </c>
      <c r="BG85" s="161">
        <v>25</v>
      </c>
      <c r="BH85" s="161">
        <v>2668</v>
      </c>
      <c r="BI85" s="161">
        <v>1593</v>
      </c>
      <c r="BJ85" s="161">
        <v>803</v>
      </c>
      <c r="BK85" s="97"/>
      <c r="BL85" s="97"/>
      <c r="BM85" s="97"/>
      <c r="BN85" s="97"/>
    </row>
    <row r="86" spans="1:66" ht="12.75">
      <c r="A86" s="79" t="s">
        <v>361</v>
      </c>
      <c r="B86" s="79" t="s">
        <v>161</v>
      </c>
      <c r="C86" s="79" t="s">
        <v>392</v>
      </c>
      <c r="D86" s="99">
        <v>2153</v>
      </c>
      <c r="E86" s="99">
        <v>341</v>
      </c>
      <c r="F86" s="99" t="s">
        <v>199</v>
      </c>
      <c r="G86" s="99">
        <v>11</v>
      </c>
      <c r="H86" s="99" t="s">
        <v>972</v>
      </c>
      <c r="I86" s="99">
        <v>25</v>
      </c>
      <c r="J86" s="99">
        <v>201</v>
      </c>
      <c r="K86" s="99">
        <v>189</v>
      </c>
      <c r="L86" s="99">
        <v>390</v>
      </c>
      <c r="M86" s="99">
        <v>126</v>
      </c>
      <c r="N86" s="99">
        <v>54</v>
      </c>
      <c r="O86" s="99">
        <v>59</v>
      </c>
      <c r="P86" s="158">
        <v>59</v>
      </c>
      <c r="Q86" s="99" t="s">
        <v>972</v>
      </c>
      <c r="R86" s="99">
        <v>11</v>
      </c>
      <c r="S86" s="99" t="s">
        <v>972</v>
      </c>
      <c r="T86" s="99">
        <v>6</v>
      </c>
      <c r="U86" s="99" t="s">
        <v>972</v>
      </c>
      <c r="V86" s="99">
        <v>15</v>
      </c>
      <c r="W86" s="99">
        <v>13</v>
      </c>
      <c r="X86" s="99" t="s">
        <v>972</v>
      </c>
      <c r="Y86" s="99">
        <v>24</v>
      </c>
      <c r="Z86" s="99" t="s">
        <v>972</v>
      </c>
      <c r="AA86" s="99" t="s">
        <v>972</v>
      </c>
      <c r="AB86" s="99" t="s">
        <v>972</v>
      </c>
      <c r="AC86" s="99" t="s">
        <v>972</v>
      </c>
      <c r="AD86" s="98" t="s">
        <v>181</v>
      </c>
      <c r="AE86" s="100">
        <v>0.1583836507199257</v>
      </c>
      <c r="AF86" s="100">
        <v>0.2</v>
      </c>
      <c r="AG86" s="98">
        <v>510.9150023223409</v>
      </c>
      <c r="AH86" s="98" t="s">
        <v>972</v>
      </c>
      <c r="AI86" s="100">
        <v>0.0116</v>
      </c>
      <c r="AJ86" s="100">
        <v>0.813765</v>
      </c>
      <c r="AK86" s="100">
        <v>0.780992</v>
      </c>
      <c r="AL86" s="100">
        <v>0.761719</v>
      </c>
      <c r="AM86" s="100">
        <v>0.538462</v>
      </c>
      <c r="AN86" s="100">
        <v>0.490909</v>
      </c>
      <c r="AO86" s="98">
        <v>2740.362285183465</v>
      </c>
      <c r="AP86" s="157">
        <v>1.3939</v>
      </c>
      <c r="AQ86" s="100" t="s">
        <v>972</v>
      </c>
      <c r="AR86" s="100" t="s">
        <v>972</v>
      </c>
      <c r="AS86" s="98" t="s">
        <v>972</v>
      </c>
      <c r="AT86" s="98">
        <v>278.6809103576405</v>
      </c>
      <c r="AU86" s="98" t="s">
        <v>972</v>
      </c>
      <c r="AV86" s="98">
        <v>696.7022758941013</v>
      </c>
      <c r="AW86" s="98">
        <v>603.8086391082211</v>
      </c>
      <c r="AX86" s="98" t="s">
        <v>972</v>
      </c>
      <c r="AY86" s="98">
        <v>1114.723641430562</v>
      </c>
      <c r="AZ86" s="98" t="s">
        <v>972</v>
      </c>
      <c r="BA86" s="100" t="s">
        <v>972</v>
      </c>
      <c r="BB86" s="100" t="s">
        <v>972</v>
      </c>
      <c r="BC86" s="100" t="s">
        <v>972</v>
      </c>
      <c r="BD86" s="157">
        <v>1.0611</v>
      </c>
      <c r="BE86" s="157">
        <v>1.798</v>
      </c>
      <c r="BF86" s="161">
        <v>247</v>
      </c>
      <c r="BG86" s="161">
        <v>242</v>
      </c>
      <c r="BH86" s="161">
        <v>512</v>
      </c>
      <c r="BI86" s="161">
        <v>234</v>
      </c>
      <c r="BJ86" s="161">
        <v>110</v>
      </c>
      <c r="BK86" s="97"/>
      <c r="BL86" s="97"/>
      <c r="BM86" s="97"/>
      <c r="BN86" s="97"/>
    </row>
    <row r="87" spans="1:66" ht="12.75">
      <c r="A87" s="79" t="s">
        <v>359</v>
      </c>
      <c r="B87" s="79" t="s">
        <v>159</v>
      </c>
      <c r="C87" s="79" t="s">
        <v>392</v>
      </c>
      <c r="D87" s="99">
        <v>1572</v>
      </c>
      <c r="E87" s="99">
        <v>384</v>
      </c>
      <c r="F87" s="99" t="s">
        <v>203</v>
      </c>
      <c r="G87" s="99">
        <v>16</v>
      </c>
      <c r="H87" s="99" t="s">
        <v>972</v>
      </c>
      <c r="I87" s="99">
        <v>37</v>
      </c>
      <c r="J87" s="99">
        <v>160</v>
      </c>
      <c r="K87" s="99" t="s">
        <v>972</v>
      </c>
      <c r="L87" s="99">
        <v>295</v>
      </c>
      <c r="M87" s="99">
        <v>145</v>
      </c>
      <c r="N87" s="99">
        <v>78</v>
      </c>
      <c r="O87" s="99">
        <v>54</v>
      </c>
      <c r="P87" s="158">
        <v>54</v>
      </c>
      <c r="Q87" s="99" t="s">
        <v>972</v>
      </c>
      <c r="R87" s="99">
        <v>9</v>
      </c>
      <c r="S87" s="99">
        <v>6</v>
      </c>
      <c r="T87" s="99">
        <v>11</v>
      </c>
      <c r="U87" s="99" t="s">
        <v>972</v>
      </c>
      <c r="V87" s="99">
        <v>10</v>
      </c>
      <c r="W87" s="99" t="s">
        <v>972</v>
      </c>
      <c r="X87" s="99" t="s">
        <v>972</v>
      </c>
      <c r="Y87" s="99">
        <v>16</v>
      </c>
      <c r="Z87" s="99">
        <v>13</v>
      </c>
      <c r="AA87" s="99" t="s">
        <v>972</v>
      </c>
      <c r="AB87" s="99" t="s">
        <v>972</v>
      </c>
      <c r="AC87" s="99" t="s">
        <v>972</v>
      </c>
      <c r="AD87" s="98" t="s">
        <v>181</v>
      </c>
      <c r="AE87" s="100">
        <v>0.24427480916030533</v>
      </c>
      <c r="AF87" s="100">
        <v>0.07</v>
      </c>
      <c r="AG87" s="98">
        <v>1017.8117048346056</v>
      </c>
      <c r="AH87" s="98" t="s">
        <v>972</v>
      </c>
      <c r="AI87" s="100">
        <v>0.0235</v>
      </c>
      <c r="AJ87" s="100">
        <v>0.808081</v>
      </c>
      <c r="AK87" s="100" t="s">
        <v>972</v>
      </c>
      <c r="AL87" s="100">
        <v>0.850144</v>
      </c>
      <c r="AM87" s="100">
        <v>0.687204</v>
      </c>
      <c r="AN87" s="100">
        <v>0.696429</v>
      </c>
      <c r="AO87" s="98">
        <v>3435.114503816794</v>
      </c>
      <c r="AP87" s="157">
        <v>1.419</v>
      </c>
      <c r="AQ87" s="100" t="s">
        <v>972</v>
      </c>
      <c r="AR87" s="100" t="s">
        <v>972</v>
      </c>
      <c r="AS87" s="98">
        <v>381.6793893129771</v>
      </c>
      <c r="AT87" s="98">
        <v>699.7455470737914</v>
      </c>
      <c r="AU87" s="98" t="s">
        <v>972</v>
      </c>
      <c r="AV87" s="98">
        <v>636.1323155216285</v>
      </c>
      <c r="AW87" s="98" t="s">
        <v>972</v>
      </c>
      <c r="AX87" s="98" t="s">
        <v>972</v>
      </c>
      <c r="AY87" s="98">
        <v>1017.8117048346056</v>
      </c>
      <c r="AZ87" s="98">
        <v>826.9720101781171</v>
      </c>
      <c r="BA87" s="100" t="s">
        <v>972</v>
      </c>
      <c r="BB87" s="100" t="s">
        <v>972</v>
      </c>
      <c r="BC87" s="100" t="s">
        <v>972</v>
      </c>
      <c r="BD87" s="157">
        <v>1.0659999999999998</v>
      </c>
      <c r="BE87" s="157">
        <v>1.8515000000000001</v>
      </c>
      <c r="BF87" s="161">
        <v>198</v>
      </c>
      <c r="BG87" s="161" t="s">
        <v>972</v>
      </c>
      <c r="BH87" s="161">
        <v>347</v>
      </c>
      <c r="BI87" s="161">
        <v>211</v>
      </c>
      <c r="BJ87" s="161">
        <v>112</v>
      </c>
      <c r="BK87" s="97"/>
      <c r="BL87" s="97"/>
      <c r="BM87" s="97"/>
      <c r="BN87" s="97"/>
    </row>
    <row r="88" spans="1:66" ht="12.75">
      <c r="A88" s="79" t="s">
        <v>395</v>
      </c>
      <c r="B88" s="79" t="s">
        <v>72</v>
      </c>
      <c r="C88" s="79" t="s">
        <v>392</v>
      </c>
      <c r="D88" s="99">
        <v>4875</v>
      </c>
      <c r="E88" s="99">
        <v>1218</v>
      </c>
      <c r="F88" s="99" t="s">
        <v>201</v>
      </c>
      <c r="G88" s="99">
        <v>26</v>
      </c>
      <c r="H88" s="99">
        <v>13</v>
      </c>
      <c r="I88" s="99">
        <v>108</v>
      </c>
      <c r="J88" s="99">
        <v>610</v>
      </c>
      <c r="K88" s="99">
        <v>571</v>
      </c>
      <c r="L88" s="99">
        <v>901</v>
      </c>
      <c r="M88" s="99">
        <v>483</v>
      </c>
      <c r="N88" s="99">
        <v>228</v>
      </c>
      <c r="O88" s="99">
        <v>102</v>
      </c>
      <c r="P88" s="158">
        <v>102</v>
      </c>
      <c r="Q88" s="99" t="s">
        <v>972</v>
      </c>
      <c r="R88" s="99">
        <v>15</v>
      </c>
      <c r="S88" s="99">
        <v>17</v>
      </c>
      <c r="T88" s="99">
        <v>26</v>
      </c>
      <c r="U88" s="99" t="s">
        <v>972</v>
      </c>
      <c r="V88" s="99">
        <v>18</v>
      </c>
      <c r="W88" s="99">
        <v>40</v>
      </c>
      <c r="X88" s="99">
        <v>24</v>
      </c>
      <c r="Y88" s="99">
        <v>55</v>
      </c>
      <c r="Z88" s="99">
        <v>25</v>
      </c>
      <c r="AA88" s="99">
        <v>11</v>
      </c>
      <c r="AB88" s="99">
        <v>16</v>
      </c>
      <c r="AC88" s="99">
        <v>9</v>
      </c>
      <c r="AD88" s="98" t="s">
        <v>181</v>
      </c>
      <c r="AE88" s="100">
        <v>0.24984615384615386</v>
      </c>
      <c r="AF88" s="100">
        <v>0.09</v>
      </c>
      <c r="AG88" s="98">
        <v>533.3333333333334</v>
      </c>
      <c r="AH88" s="98">
        <v>266.6666666666667</v>
      </c>
      <c r="AI88" s="100">
        <v>0.0222</v>
      </c>
      <c r="AJ88" s="100">
        <v>0.784062</v>
      </c>
      <c r="AK88" s="100">
        <v>0.771622</v>
      </c>
      <c r="AL88" s="100">
        <v>0.825092</v>
      </c>
      <c r="AM88" s="100">
        <v>0.652703</v>
      </c>
      <c r="AN88" s="100">
        <v>0.631579</v>
      </c>
      <c r="AO88" s="98">
        <v>2092.3076923076924</v>
      </c>
      <c r="AP88" s="157">
        <v>0.847</v>
      </c>
      <c r="AQ88" s="100" t="s">
        <v>972</v>
      </c>
      <c r="AR88" s="100" t="s">
        <v>972</v>
      </c>
      <c r="AS88" s="98">
        <v>348.71794871794873</v>
      </c>
      <c r="AT88" s="98">
        <v>533.3333333333334</v>
      </c>
      <c r="AU88" s="98" t="s">
        <v>972</v>
      </c>
      <c r="AV88" s="98">
        <v>369.2307692307692</v>
      </c>
      <c r="AW88" s="98">
        <v>820.5128205128206</v>
      </c>
      <c r="AX88" s="98">
        <v>492.3076923076923</v>
      </c>
      <c r="AY88" s="98">
        <v>1128.2051282051282</v>
      </c>
      <c r="AZ88" s="98">
        <v>512.8205128205128</v>
      </c>
      <c r="BA88" s="100">
        <v>0.3055555555555556</v>
      </c>
      <c r="BB88" s="100">
        <v>0.4444444444444444</v>
      </c>
      <c r="BC88" s="100">
        <v>0.25</v>
      </c>
      <c r="BD88" s="157">
        <v>0.6906</v>
      </c>
      <c r="BE88" s="157">
        <v>1.0281</v>
      </c>
      <c r="BF88" s="161">
        <v>778</v>
      </c>
      <c r="BG88" s="161">
        <v>740</v>
      </c>
      <c r="BH88" s="161">
        <v>1092</v>
      </c>
      <c r="BI88" s="161">
        <v>740</v>
      </c>
      <c r="BJ88" s="161">
        <v>361</v>
      </c>
      <c r="BK88" s="97"/>
      <c r="BL88" s="97"/>
      <c r="BM88" s="97"/>
      <c r="BN88" s="97"/>
    </row>
    <row r="89" spans="1:66" ht="12.75">
      <c r="A89" s="79" t="s">
        <v>974</v>
      </c>
      <c r="B89" s="79" t="s">
        <v>60</v>
      </c>
      <c r="C89" s="79" t="s">
        <v>392</v>
      </c>
      <c r="D89" s="99">
        <v>7177</v>
      </c>
      <c r="E89" s="99">
        <v>2558</v>
      </c>
      <c r="F89" s="99" t="s">
        <v>201</v>
      </c>
      <c r="G89" s="99">
        <v>59</v>
      </c>
      <c r="H89" s="99">
        <v>28</v>
      </c>
      <c r="I89" s="99">
        <v>205</v>
      </c>
      <c r="J89" s="99">
        <v>1010</v>
      </c>
      <c r="K89" s="99">
        <v>972</v>
      </c>
      <c r="L89" s="99">
        <v>1141</v>
      </c>
      <c r="M89" s="99">
        <v>889</v>
      </c>
      <c r="N89" s="99">
        <v>433</v>
      </c>
      <c r="O89" s="99">
        <v>165</v>
      </c>
      <c r="P89" s="158">
        <v>165</v>
      </c>
      <c r="Q89" s="99">
        <v>26</v>
      </c>
      <c r="R89" s="99">
        <v>55</v>
      </c>
      <c r="S89" s="99">
        <v>32</v>
      </c>
      <c r="T89" s="99">
        <v>26</v>
      </c>
      <c r="U89" s="99" t="s">
        <v>972</v>
      </c>
      <c r="V89" s="99">
        <v>28</v>
      </c>
      <c r="W89" s="99">
        <v>44</v>
      </c>
      <c r="X89" s="99">
        <v>39</v>
      </c>
      <c r="Y89" s="99">
        <v>90</v>
      </c>
      <c r="Z89" s="99">
        <v>39</v>
      </c>
      <c r="AA89" s="99">
        <v>12</v>
      </c>
      <c r="AB89" s="99">
        <v>26</v>
      </c>
      <c r="AC89" s="99">
        <v>15</v>
      </c>
      <c r="AD89" s="98" t="s">
        <v>181</v>
      </c>
      <c r="AE89" s="100">
        <v>0.3564163299428731</v>
      </c>
      <c r="AF89" s="100">
        <v>0.09</v>
      </c>
      <c r="AG89" s="98">
        <v>822.0705029956806</v>
      </c>
      <c r="AH89" s="98">
        <v>390.1351539640518</v>
      </c>
      <c r="AI89" s="100">
        <v>0.0286</v>
      </c>
      <c r="AJ89" s="100">
        <v>0.808647</v>
      </c>
      <c r="AK89" s="100">
        <v>0.80397</v>
      </c>
      <c r="AL89" s="100">
        <v>0.776719</v>
      </c>
      <c r="AM89" s="100">
        <v>0.671958</v>
      </c>
      <c r="AN89" s="100">
        <v>0.656061</v>
      </c>
      <c r="AO89" s="98">
        <v>2299.010728716734</v>
      </c>
      <c r="AP89" s="157">
        <v>0.7693000000000001</v>
      </c>
      <c r="AQ89" s="100">
        <v>0.15757575757575756</v>
      </c>
      <c r="AR89" s="100">
        <v>0.4727272727272727</v>
      </c>
      <c r="AS89" s="98">
        <v>445.8687473874878</v>
      </c>
      <c r="AT89" s="98">
        <v>362.26835725233383</v>
      </c>
      <c r="AU89" s="98" t="s">
        <v>972</v>
      </c>
      <c r="AV89" s="98">
        <v>390.1351539640518</v>
      </c>
      <c r="AW89" s="98">
        <v>613.0695276577958</v>
      </c>
      <c r="AX89" s="98">
        <v>543.4025358785008</v>
      </c>
      <c r="AY89" s="98">
        <v>1254.0058520273094</v>
      </c>
      <c r="AZ89" s="98">
        <v>543.4025358785008</v>
      </c>
      <c r="BA89" s="100">
        <v>0.22641509433962265</v>
      </c>
      <c r="BB89" s="100">
        <v>0.49056603773584906</v>
      </c>
      <c r="BC89" s="100">
        <v>0.2830188679245283</v>
      </c>
      <c r="BD89" s="157">
        <v>0.6564</v>
      </c>
      <c r="BE89" s="157">
        <v>0.8959999999999999</v>
      </c>
      <c r="BF89" s="161">
        <v>1249</v>
      </c>
      <c r="BG89" s="161">
        <v>1209</v>
      </c>
      <c r="BH89" s="161">
        <v>1469</v>
      </c>
      <c r="BI89" s="161">
        <v>1323</v>
      </c>
      <c r="BJ89" s="161">
        <v>660</v>
      </c>
      <c r="BK89" s="97"/>
      <c r="BL89" s="97"/>
      <c r="BM89" s="97"/>
      <c r="BN89" s="97"/>
    </row>
    <row r="90" spans="1:66" ht="12.75">
      <c r="A90" s="79" t="s">
        <v>341</v>
      </c>
      <c r="B90" s="79" t="s">
        <v>140</v>
      </c>
      <c r="C90" s="79" t="s">
        <v>392</v>
      </c>
      <c r="D90" s="99">
        <v>1815</v>
      </c>
      <c r="E90" s="99">
        <v>476</v>
      </c>
      <c r="F90" s="99" t="s">
        <v>201</v>
      </c>
      <c r="G90" s="99">
        <v>13</v>
      </c>
      <c r="H90" s="99">
        <v>7</v>
      </c>
      <c r="I90" s="99">
        <v>28</v>
      </c>
      <c r="J90" s="99">
        <v>252</v>
      </c>
      <c r="K90" s="99" t="s">
        <v>972</v>
      </c>
      <c r="L90" s="99">
        <v>345</v>
      </c>
      <c r="M90" s="99">
        <v>203</v>
      </c>
      <c r="N90" s="99">
        <v>91</v>
      </c>
      <c r="O90" s="99">
        <v>37</v>
      </c>
      <c r="P90" s="158">
        <v>37</v>
      </c>
      <c r="Q90" s="99">
        <v>6</v>
      </c>
      <c r="R90" s="99">
        <v>15</v>
      </c>
      <c r="S90" s="99">
        <v>9</v>
      </c>
      <c r="T90" s="99">
        <v>7</v>
      </c>
      <c r="U90" s="99" t="s">
        <v>972</v>
      </c>
      <c r="V90" s="99">
        <v>6</v>
      </c>
      <c r="W90" s="99" t="s">
        <v>972</v>
      </c>
      <c r="X90" s="99">
        <v>6</v>
      </c>
      <c r="Y90" s="99">
        <v>13</v>
      </c>
      <c r="Z90" s="99">
        <v>13</v>
      </c>
      <c r="AA90" s="99" t="s">
        <v>972</v>
      </c>
      <c r="AB90" s="99" t="s">
        <v>972</v>
      </c>
      <c r="AC90" s="99" t="s">
        <v>972</v>
      </c>
      <c r="AD90" s="98" t="s">
        <v>181</v>
      </c>
      <c r="AE90" s="100">
        <v>0.2622589531680441</v>
      </c>
      <c r="AF90" s="100">
        <v>0.09</v>
      </c>
      <c r="AG90" s="98">
        <v>716.2534435261708</v>
      </c>
      <c r="AH90" s="98">
        <v>385.6749311294766</v>
      </c>
      <c r="AI90" s="100">
        <v>0.0154</v>
      </c>
      <c r="AJ90" s="100">
        <v>0.802548</v>
      </c>
      <c r="AK90" s="100" t="s">
        <v>972</v>
      </c>
      <c r="AL90" s="100">
        <v>0.843521</v>
      </c>
      <c r="AM90" s="100">
        <v>0.602374</v>
      </c>
      <c r="AN90" s="100">
        <v>0.602649</v>
      </c>
      <c r="AO90" s="98">
        <v>2038.5674931129477</v>
      </c>
      <c r="AP90" s="157">
        <v>0.7854000000000001</v>
      </c>
      <c r="AQ90" s="100">
        <v>0.16216216216216217</v>
      </c>
      <c r="AR90" s="100">
        <v>0.4</v>
      </c>
      <c r="AS90" s="98">
        <v>495.8677685950413</v>
      </c>
      <c r="AT90" s="98">
        <v>385.6749311294766</v>
      </c>
      <c r="AU90" s="98" t="s">
        <v>972</v>
      </c>
      <c r="AV90" s="98">
        <v>330.57851239669424</v>
      </c>
      <c r="AW90" s="98" t="s">
        <v>972</v>
      </c>
      <c r="AX90" s="98">
        <v>330.57851239669424</v>
      </c>
      <c r="AY90" s="98">
        <v>716.2534435261708</v>
      </c>
      <c r="AZ90" s="98">
        <v>716.2534435261708</v>
      </c>
      <c r="BA90" s="100" t="s">
        <v>972</v>
      </c>
      <c r="BB90" s="100" t="s">
        <v>972</v>
      </c>
      <c r="BC90" s="100" t="s">
        <v>972</v>
      </c>
      <c r="BD90" s="157">
        <v>0.5529999999999999</v>
      </c>
      <c r="BE90" s="157">
        <v>1.0826</v>
      </c>
      <c r="BF90" s="161">
        <v>314</v>
      </c>
      <c r="BG90" s="161" t="s">
        <v>972</v>
      </c>
      <c r="BH90" s="161">
        <v>409</v>
      </c>
      <c r="BI90" s="161">
        <v>337</v>
      </c>
      <c r="BJ90" s="161">
        <v>151</v>
      </c>
      <c r="BK90" s="97"/>
      <c r="BL90" s="97"/>
      <c r="BM90" s="97"/>
      <c r="BN90" s="97"/>
    </row>
    <row r="91" spans="1:66" ht="12.75">
      <c r="A91" s="79" t="s">
        <v>311</v>
      </c>
      <c r="B91" s="79" t="s">
        <v>102</v>
      </c>
      <c r="C91" s="79" t="s">
        <v>392</v>
      </c>
      <c r="D91" s="99">
        <v>14303</v>
      </c>
      <c r="E91" s="99">
        <v>5673</v>
      </c>
      <c r="F91" s="99" t="s">
        <v>201</v>
      </c>
      <c r="G91" s="99">
        <v>150</v>
      </c>
      <c r="H91" s="99">
        <v>74</v>
      </c>
      <c r="I91" s="99">
        <v>465</v>
      </c>
      <c r="J91" s="99">
        <v>1810</v>
      </c>
      <c r="K91" s="99">
        <v>35</v>
      </c>
      <c r="L91" s="99">
        <v>2235</v>
      </c>
      <c r="M91" s="99">
        <v>1647</v>
      </c>
      <c r="N91" s="99">
        <v>798</v>
      </c>
      <c r="O91" s="99">
        <v>430</v>
      </c>
      <c r="P91" s="158">
        <v>430</v>
      </c>
      <c r="Q91" s="99">
        <v>55</v>
      </c>
      <c r="R91" s="99">
        <v>107</v>
      </c>
      <c r="S91" s="99">
        <v>73</v>
      </c>
      <c r="T91" s="99">
        <v>99</v>
      </c>
      <c r="U91" s="99">
        <v>15</v>
      </c>
      <c r="V91" s="99">
        <v>86</v>
      </c>
      <c r="W91" s="99">
        <v>160</v>
      </c>
      <c r="X91" s="99">
        <v>62</v>
      </c>
      <c r="Y91" s="99">
        <v>228</v>
      </c>
      <c r="Z91" s="99">
        <v>146</v>
      </c>
      <c r="AA91" s="99">
        <v>22</v>
      </c>
      <c r="AB91" s="99">
        <v>64</v>
      </c>
      <c r="AC91" s="99">
        <v>26</v>
      </c>
      <c r="AD91" s="98" t="s">
        <v>181</v>
      </c>
      <c r="AE91" s="100">
        <v>0.39663007760609664</v>
      </c>
      <c r="AF91" s="100">
        <v>0.08</v>
      </c>
      <c r="AG91" s="98">
        <v>1048.731035447109</v>
      </c>
      <c r="AH91" s="98">
        <v>517.3739774872405</v>
      </c>
      <c r="AI91" s="100">
        <v>0.0325</v>
      </c>
      <c r="AJ91" s="100">
        <v>0.765975</v>
      </c>
      <c r="AK91" s="100">
        <v>0.625</v>
      </c>
      <c r="AL91" s="100">
        <v>0.789753</v>
      </c>
      <c r="AM91" s="100">
        <v>0.671697</v>
      </c>
      <c r="AN91" s="100">
        <v>0.65625</v>
      </c>
      <c r="AO91" s="98">
        <v>3006.362301615046</v>
      </c>
      <c r="AP91" s="157">
        <v>0.9581999999999999</v>
      </c>
      <c r="AQ91" s="100">
        <v>0.12790697674418605</v>
      </c>
      <c r="AR91" s="100">
        <v>0.514018691588785</v>
      </c>
      <c r="AS91" s="98">
        <v>510.3824372509264</v>
      </c>
      <c r="AT91" s="98">
        <v>692.162483395092</v>
      </c>
      <c r="AU91" s="98">
        <v>104.8731035447109</v>
      </c>
      <c r="AV91" s="98">
        <v>601.2724603230091</v>
      </c>
      <c r="AW91" s="98">
        <v>1118.6464378102496</v>
      </c>
      <c r="AX91" s="98">
        <v>433.4754946514717</v>
      </c>
      <c r="AY91" s="98">
        <v>1594.0711738796056</v>
      </c>
      <c r="AZ91" s="98">
        <v>1020.7648745018528</v>
      </c>
      <c r="BA91" s="100">
        <v>0.19642857142857142</v>
      </c>
      <c r="BB91" s="100">
        <v>0.5714285714285714</v>
      </c>
      <c r="BC91" s="100">
        <v>0.23214285714285715</v>
      </c>
      <c r="BD91" s="157">
        <v>0.8697</v>
      </c>
      <c r="BE91" s="157">
        <v>1.0531</v>
      </c>
      <c r="BF91" s="161">
        <v>2363</v>
      </c>
      <c r="BG91" s="161">
        <v>56</v>
      </c>
      <c r="BH91" s="161">
        <v>2830</v>
      </c>
      <c r="BI91" s="161">
        <v>2452</v>
      </c>
      <c r="BJ91" s="161">
        <v>1216</v>
      </c>
      <c r="BK91" s="97"/>
      <c r="BL91" s="97"/>
      <c r="BM91" s="97"/>
      <c r="BN91" s="97"/>
    </row>
    <row r="92" spans="1:66" ht="12.75">
      <c r="A92" s="79" t="s">
        <v>317</v>
      </c>
      <c r="B92" s="79" t="s">
        <v>109</v>
      </c>
      <c r="C92" s="79" t="s">
        <v>392</v>
      </c>
      <c r="D92" s="99">
        <v>5030</v>
      </c>
      <c r="E92" s="99">
        <v>1067</v>
      </c>
      <c r="F92" s="99" t="s">
        <v>202</v>
      </c>
      <c r="G92" s="99">
        <v>32</v>
      </c>
      <c r="H92" s="99">
        <v>13</v>
      </c>
      <c r="I92" s="99">
        <v>122</v>
      </c>
      <c r="J92" s="99">
        <v>562</v>
      </c>
      <c r="K92" s="99">
        <v>12</v>
      </c>
      <c r="L92" s="99">
        <v>981</v>
      </c>
      <c r="M92" s="99">
        <v>463</v>
      </c>
      <c r="N92" s="99">
        <v>227</v>
      </c>
      <c r="O92" s="99">
        <v>149</v>
      </c>
      <c r="P92" s="158">
        <v>149</v>
      </c>
      <c r="Q92" s="99">
        <v>23</v>
      </c>
      <c r="R92" s="99">
        <v>38</v>
      </c>
      <c r="S92" s="99">
        <v>31</v>
      </c>
      <c r="T92" s="99">
        <v>34</v>
      </c>
      <c r="U92" s="99" t="s">
        <v>972</v>
      </c>
      <c r="V92" s="99">
        <v>18</v>
      </c>
      <c r="W92" s="99">
        <v>51</v>
      </c>
      <c r="X92" s="99">
        <v>9</v>
      </c>
      <c r="Y92" s="99">
        <v>28</v>
      </c>
      <c r="Z92" s="99">
        <v>22</v>
      </c>
      <c r="AA92" s="99" t="s">
        <v>972</v>
      </c>
      <c r="AB92" s="99">
        <v>12</v>
      </c>
      <c r="AC92" s="99" t="s">
        <v>972</v>
      </c>
      <c r="AD92" s="98" t="s">
        <v>181</v>
      </c>
      <c r="AE92" s="100">
        <v>0.2121272365805169</v>
      </c>
      <c r="AF92" s="100">
        <v>0.13</v>
      </c>
      <c r="AG92" s="98">
        <v>636.182902584493</v>
      </c>
      <c r="AH92" s="98">
        <v>258.44930417495027</v>
      </c>
      <c r="AI92" s="100">
        <v>0.024300000000000002</v>
      </c>
      <c r="AJ92" s="100">
        <v>0.72987</v>
      </c>
      <c r="AK92" s="100">
        <v>0.6</v>
      </c>
      <c r="AL92" s="100">
        <v>0.786058</v>
      </c>
      <c r="AM92" s="100">
        <v>0.651195</v>
      </c>
      <c r="AN92" s="100">
        <v>0.628809</v>
      </c>
      <c r="AO92" s="98">
        <v>2962.226640159046</v>
      </c>
      <c r="AP92" s="157">
        <v>1.2592</v>
      </c>
      <c r="AQ92" s="100">
        <v>0.15436241610738255</v>
      </c>
      <c r="AR92" s="100">
        <v>0.6052631578947368</v>
      </c>
      <c r="AS92" s="98">
        <v>616.3021868787276</v>
      </c>
      <c r="AT92" s="98">
        <v>675.9443339960238</v>
      </c>
      <c r="AU92" s="98" t="s">
        <v>972</v>
      </c>
      <c r="AV92" s="98">
        <v>357.8528827037773</v>
      </c>
      <c r="AW92" s="98">
        <v>1013.9165009940358</v>
      </c>
      <c r="AX92" s="98">
        <v>178.92644135188866</v>
      </c>
      <c r="AY92" s="98">
        <v>556.6600397614314</v>
      </c>
      <c r="AZ92" s="98">
        <v>437.37574552683895</v>
      </c>
      <c r="BA92" s="100" t="s">
        <v>972</v>
      </c>
      <c r="BB92" s="100">
        <v>0.5217391304347826</v>
      </c>
      <c r="BC92" s="100" t="s">
        <v>972</v>
      </c>
      <c r="BD92" s="157">
        <v>1.0651000000000002</v>
      </c>
      <c r="BE92" s="157">
        <v>1.4784</v>
      </c>
      <c r="BF92" s="161">
        <v>770</v>
      </c>
      <c r="BG92" s="161">
        <v>20</v>
      </c>
      <c r="BH92" s="161">
        <v>1248</v>
      </c>
      <c r="BI92" s="161">
        <v>711</v>
      </c>
      <c r="BJ92" s="161">
        <v>361</v>
      </c>
      <c r="BK92" s="97"/>
      <c r="BL92" s="97"/>
      <c r="BM92" s="97"/>
      <c r="BN92" s="97"/>
    </row>
    <row r="93" spans="1:66" ht="12.75">
      <c r="A93" s="79" t="s">
        <v>351</v>
      </c>
      <c r="B93" s="79" t="s">
        <v>150</v>
      </c>
      <c r="C93" s="79" t="s">
        <v>392</v>
      </c>
      <c r="D93" s="99">
        <v>5378</v>
      </c>
      <c r="E93" s="99">
        <v>1232</v>
      </c>
      <c r="F93" s="99" t="s">
        <v>202</v>
      </c>
      <c r="G93" s="99">
        <v>30</v>
      </c>
      <c r="H93" s="99">
        <v>18</v>
      </c>
      <c r="I93" s="99">
        <v>109</v>
      </c>
      <c r="J93" s="99">
        <v>600</v>
      </c>
      <c r="K93" s="99">
        <v>289</v>
      </c>
      <c r="L93" s="99">
        <v>970</v>
      </c>
      <c r="M93" s="99">
        <v>475</v>
      </c>
      <c r="N93" s="99">
        <v>230</v>
      </c>
      <c r="O93" s="99">
        <v>142</v>
      </c>
      <c r="P93" s="158">
        <v>142</v>
      </c>
      <c r="Q93" s="99">
        <v>14</v>
      </c>
      <c r="R93" s="99">
        <v>34</v>
      </c>
      <c r="S93" s="99">
        <v>39</v>
      </c>
      <c r="T93" s="99">
        <v>20</v>
      </c>
      <c r="U93" s="99" t="s">
        <v>972</v>
      </c>
      <c r="V93" s="99">
        <v>15</v>
      </c>
      <c r="W93" s="99">
        <v>35</v>
      </c>
      <c r="X93" s="99">
        <v>38</v>
      </c>
      <c r="Y93" s="99">
        <v>46</v>
      </c>
      <c r="Z93" s="99">
        <v>40</v>
      </c>
      <c r="AA93" s="99">
        <v>6</v>
      </c>
      <c r="AB93" s="99">
        <v>21</v>
      </c>
      <c r="AC93" s="99">
        <v>9</v>
      </c>
      <c r="AD93" s="98" t="s">
        <v>181</v>
      </c>
      <c r="AE93" s="100">
        <v>0.229081442915582</v>
      </c>
      <c r="AF93" s="100">
        <v>0.12</v>
      </c>
      <c r="AG93" s="98">
        <v>557.8281889178133</v>
      </c>
      <c r="AH93" s="98">
        <v>334.69691335068796</v>
      </c>
      <c r="AI93" s="100">
        <v>0.0203</v>
      </c>
      <c r="AJ93" s="100">
        <v>0.747198</v>
      </c>
      <c r="AK93" s="100">
        <v>0.781081</v>
      </c>
      <c r="AL93" s="100">
        <v>0.778491</v>
      </c>
      <c r="AM93" s="100">
        <v>0.612113</v>
      </c>
      <c r="AN93" s="100">
        <v>0.585242</v>
      </c>
      <c r="AO93" s="98">
        <v>2640.3867608776495</v>
      </c>
      <c r="AP93" s="157">
        <v>1.1173</v>
      </c>
      <c r="AQ93" s="100">
        <v>0.09859154929577464</v>
      </c>
      <c r="AR93" s="100">
        <v>0.4117647058823529</v>
      </c>
      <c r="AS93" s="98">
        <v>725.1766455931573</v>
      </c>
      <c r="AT93" s="98">
        <v>371.8854592785422</v>
      </c>
      <c r="AU93" s="98" t="s">
        <v>972</v>
      </c>
      <c r="AV93" s="98">
        <v>278.9140944589067</v>
      </c>
      <c r="AW93" s="98">
        <v>650.7995537374488</v>
      </c>
      <c r="AX93" s="98">
        <v>706.5823726292302</v>
      </c>
      <c r="AY93" s="98">
        <v>855.3365563406471</v>
      </c>
      <c r="AZ93" s="98">
        <v>743.7709185570844</v>
      </c>
      <c r="BA93" s="100">
        <v>0.16666666666666666</v>
      </c>
      <c r="BB93" s="100">
        <v>0.5833333333333334</v>
      </c>
      <c r="BC93" s="100">
        <v>0.25</v>
      </c>
      <c r="BD93" s="157">
        <v>0.9411</v>
      </c>
      <c r="BE93" s="157">
        <v>1.3169</v>
      </c>
      <c r="BF93" s="161">
        <v>803</v>
      </c>
      <c r="BG93" s="161">
        <v>370</v>
      </c>
      <c r="BH93" s="161">
        <v>1246</v>
      </c>
      <c r="BI93" s="161">
        <v>776</v>
      </c>
      <c r="BJ93" s="161">
        <v>393</v>
      </c>
      <c r="BK93" s="97"/>
      <c r="BL93" s="97"/>
      <c r="BM93" s="97"/>
      <c r="BN93" s="97"/>
    </row>
    <row r="94" spans="1:66" ht="12.75">
      <c r="A94" s="79" t="s">
        <v>306</v>
      </c>
      <c r="B94" s="79" t="s">
        <v>96</v>
      </c>
      <c r="C94" s="79" t="s">
        <v>392</v>
      </c>
      <c r="D94" s="99">
        <v>7786</v>
      </c>
      <c r="E94" s="99">
        <v>1436</v>
      </c>
      <c r="F94" s="99" t="s">
        <v>202</v>
      </c>
      <c r="G94" s="99">
        <v>47</v>
      </c>
      <c r="H94" s="99">
        <v>17</v>
      </c>
      <c r="I94" s="99">
        <v>164</v>
      </c>
      <c r="J94" s="99">
        <v>615</v>
      </c>
      <c r="K94" s="99">
        <v>592</v>
      </c>
      <c r="L94" s="99">
        <v>1441</v>
      </c>
      <c r="M94" s="99">
        <v>494</v>
      </c>
      <c r="N94" s="99">
        <v>230</v>
      </c>
      <c r="O94" s="99">
        <v>185</v>
      </c>
      <c r="P94" s="158">
        <v>185</v>
      </c>
      <c r="Q94" s="99">
        <v>14</v>
      </c>
      <c r="R94" s="99">
        <v>32</v>
      </c>
      <c r="S94" s="99">
        <v>38</v>
      </c>
      <c r="T94" s="99">
        <v>39</v>
      </c>
      <c r="U94" s="99" t="s">
        <v>972</v>
      </c>
      <c r="V94" s="99">
        <v>23</v>
      </c>
      <c r="W94" s="99">
        <v>86</v>
      </c>
      <c r="X94" s="99">
        <v>46</v>
      </c>
      <c r="Y94" s="99">
        <v>111</v>
      </c>
      <c r="Z94" s="99">
        <v>61</v>
      </c>
      <c r="AA94" s="99" t="s">
        <v>972</v>
      </c>
      <c r="AB94" s="99">
        <v>17</v>
      </c>
      <c r="AC94" s="99" t="s">
        <v>972</v>
      </c>
      <c r="AD94" s="98" t="s">
        <v>181</v>
      </c>
      <c r="AE94" s="100">
        <v>0.18443359876701773</v>
      </c>
      <c r="AF94" s="100">
        <v>0.13</v>
      </c>
      <c r="AG94" s="98">
        <v>603.6475725661444</v>
      </c>
      <c r="AH94" s="98">
        <v>218.34061135371178</v>
      </c>
      <c r="AI94" s="100">
        <v>0.021099999999999997</v>
      </c>
      <c r="AJ94" s="100">
        <v>0.710162</v>
      </c>
      <c r="AK94" s="100">
        <v>0.699764</v>
      </c>
      <c r="AL94" s="100">
        <v>0.726677</v>
      </c>
      <c r="AM94" s="100">
        <v>0.587396</v>
      </c>
      <c r="AN94" s="100">
        <v>0.536131</v>
      </c>
      <c r="AO94" s="98">
        <v>2376.0595941433344</v>
      </c>
      <c r="AP94" s="157">
        <v>1.1358</v>
      </c>
      <c r="AQ94" s="100">
        <v>0.07567567567567568</v>
      </c>
      <c r="AR94" s="100">
        <v>0.4375</v>
      </c>
      <c r="AS94" s="98">
        <v>488.0554842024146</v>
      </c>
      <c r="AT94" s="98">
        <v>500.8990495761623</v>
      </c>
      <c r="AU94" s="98" t="s">
        <v>972</v>
      </c>
      <c r="AV94" s="98">
        <v>295.4020035961983</v>
      </c>
      <c r="AW94" s="98">
        <v>1104.5466221423067</v>
      </c>
      <c r="AX94" s="98">
        <v>590.8040071923966</v>
      </c>
      <c r="AY94" s="98">
        <v>1425.6357564860004</v>
      </c>
      <c r="AZ94" s="98">
        <v>783.4574877986129</v>
      </c>
      <c r="BA94" s="100" t="s">
        <v>972</v>
      </c>
      <c r="BB94" s="100">
        <v>0.4722222222222222</v>
      </c>
      <c r="BC94" s="100" t="s">
        <v>972</v>
      </c>
      <c r="BD94" s="157">
        <v>0.978</v>
      </c>
      <c r="BE94" s="157">
        <v>1.3118</v>
      </c>
      <c r="BF94" s="161">
        <v>866</v>
      </c>
      <c r="BG94" s="161">
        <v>846</v>
      </c>
      <c r="BH94" s="161">
        <v>1983</v>
      </c>
      <c r="BI94" s="161">
        <v>841</v>
      </c>
      <c r="BJ94" s="161">
        <v>429</v>
      </c>
      <c r="BK94" s="97"/>
      <c r="BL94" s="97"/>
      <c r="BM94" s="97"/>
      <c r="BN94" s="97"/>
    </row>
    <row r="95" spans="1:66" ht="12.75">
      <c r="A95" s="79" t="s">
        <v>294</v>
      </c>
      <c r="B95" s="79" t="s">
        <v>82</v>
      </c>
      <c r="C95" s="79" t="s">
        <v>392</v>
      </c>
      <c r="D95" s="99">
        <v>5046</v>
      </c>
      <c r="E95" s="99">
        <v>868</v>
      </c>
      <c r="F95" s="99" t="s">
        <v>199</v>
      </c>
      <c r="G95" s="99">
        <v>28</v>
      </c>
      <c r="H95" s="99">
        <v>14</v>
      </c>
      <c r="I95" s="99">
        <v>99</v>
      </c>
      <c r="J95" s="99">
        <v>443</v>
      </c>
      <c r="K95" s="99">
        <v>6</v>
      </c>
      <c r="L95" s="99">
        <v>895</v>
      </c>
      <c r="M95" s="99">
        <v>300</v>
      </c>
      <c r="N95" s="99">
        <v>173</v>
      </c>
      <c r="O95" s="99">
        <v>134</v>
      </c>
      <c r="P95" s="158">
        <v>134</v>
      </c>
      <c r="Q95" s="99">
        <v>14</v>
      </c>
      <c r="R95" s="99">
        <v>32</v>
      </c>
      <c r="S95" s="99">
        <v>17</v>
      </c>
      <c r="T95" s="99">
        <v>31</v>
      </c>
      <c r="U95" s="99">
        <v>6</v>
      </c>
      <c r="V95" s="99">
        <v>30</v>
      </c>
      <c r="W95" s="99">
        <v>40</v>
      </c>
      <c r="X95" s="99" t="s">
        <v>972</v>
      </c>
      <c r="Y95" s="99">
        <v>47</v>
      </c>
      <c r="Z95" s="99">
        <v>27</v>
      </c>
      <c r="AA95" s="99" t="s">
        <v>972</v>
      </c>
      <c r="AB95" s="99">
        <v>11</v>
      </c>
      <c r="AC95" s="99" t="s">
        <v>972</v>
      </c>
      <c r="AD95" s="98" t="s">
        <v>181</v>
      </c>
      <c r="AE95" s="100">
        <v>0.17201743955608403</v>
      </c>
      <c r="AF95" s="100">
        <v>0.17</v>
      </c>
      <c r="AG95" s="98">
        <v>554.8949663099485</v>
      </c>
      <c r="AH95" s="98">
        <v>277.44748315497424</v>
      </c>
      <c r="AI95" s="100">
        <v>0.0196</v>
      </c>
      <c r="AJ95" s="100">
        <v>0.683642</v>
      </c>
      <c r="AK95" s="100">
        <v>0.428571</v>
      </c>
      <c r="AL95" s="100">
        <v>0.748954</v>
      </c>
      <c r="AM95" s="100">
        <v>0.560748</v>
      </c>
      <c r="AN95" s="100">
        <v>0.570957</v>
      </c>
      <c r="AO95" s="98">
        <v>2655.5687673404677</v>
      </c>
      <c r="AP95" s="157">
        <v>1.3244</v>
      </c>
      <c r="AQ95" s="100">
        <v>0.1044776119402985</v>
      </c>
      <c r="AR95" s="100">
        <v>0.4375</v>
      </c>
      <c r="AS95" s="98">
        <v>336.90051525961155</v>
      </c>
      <c r="AT95" s="98">
        <v>614.3479984145858</v>
      </c>
      <c r="AU95" s="98">
        <v>118.90606420927467</v>
      </c>
      <c r="AV95" s="98">
        <v>594.5303210463734</v>
      </c>
      <c r="AW95" s="98">
        <v>792.7070947284979</v>
      </c>
      <c r="AX95" s="98" t="s">
        <v>972</v>
      </c>
      <c r="AY95" s="98">
        <v>931.4308363059849</v>
      </c>
      <c r="AZ95" s="98">
        <v>535.077288941736</v>
      </c>
      <c r="BA95" s="100" t="s">
        <v>972</v>
      </c>
      <c r="BB95" s="100">
        <v>0.5</v>
      </c>
      <c r="BC95" s="100" t="s">
        <v>972</v>
      </c>
      <c r="BD95" s="157">
        <v>1.1096</v>
      </c>
      <c r="BE95" s="157">
        <v>1.5685</v>
      </c>
      <c r="BF95" s="161">
        <v>648</v>
      </c>
      <c r="BG95" s="161">
        <v>14</v>
      </c>
      <c r="BH95" s="161">
        <v>1195</v>
      </c>
      <c r="BI95" s="161">
        <v>535</v>
      </c>
      <c r="BJ95" s="161">
        <v>303</v>
      </c>
      <c r="BK95" s="97"/>
      <c r="BL95" s="97"/>
      <c r="BM95" s="97"/>
      <c r="BN95" s="97"/>
    </row>
    <row r="96" spans="1:66" ht="12.75">
      <c r="A96" s="79" t="s">
        <v>396</v>
      </c>
      <c r="B96" s="79" t="s">
        <v>76</v>
      </c>
      <c r="C96" s="79" t="s">
        <v>392</v>
      </c>
      <c r="D96" s="99">
        <v>10123</v>
      </c>
      <c r="E96" s="99">
        <v>1493</v>
      </c>
      <c r="F96" s="99" t="s">
        <v>199</v>
      </c>
      <c r="G96" s="99">
        <v>50</v>
      </c>
      <c r="H96" s="99">
        <v>14</v>
      </c>
      <c r="I96" s="99">
        <v>201</v>
      </c>
      <c r="J96" s="99">
        <v>929</v>
      </c>
      <c r="K96" s="99">
        <v>904</v>
      </c>
      <c r="L96" s="99">
        <v>1766</v>
      </c>
      <c r="M96" s="99">
        <v>625</v>
      </c>
      <c r="N96" s="99">
        <v>327</v>
      </c>
      <c r="O96" s="99">
        <v>214</v>
      </c>
      <c r="P96" s="158">
        <v>214</v>
      </c>
      <c r="Q96" s="99">
        <v>24</v>
      </c>
      <c r="R96" s="99">
        <v>46</v>
      </c>
      <c r="S96" s="99">
        <v>19</v>
      </c>
      <c r="T96" s="99">
        <v>32</v>
      </c>
      <c r="U96" s="99">
        <v>16</v>
      </c>
      <c r="V96" s="99">
        <v>40</v>
      </c>
      <c r="W96" s="99">
        <v>83</v>
      </c>
      <c r="X96" s="99">
        <v>11</v>
      </c>
      <c r="Y96" s="99">
        <v>75</v>
      </c>
      <c r="Z96" s="99">
        <v>42</v>
      </c>
      <c r="AA96" s="99">
        <v>8</v>
      </c>
      <c r="AB96" s="99">
        <v>25</v>
      </c>
      <c r="AC96" s="99">
        <v>8</v>
      </c>
      <c r="AD96" s="98" t="s">
        <v>181</v>
      </c>
      <c r="AE96" s="100">
        <v>0.14748592314531264</v>
      </c>
      <c r="AF96" s="100">
        <v>0.21</v>
      </c>
      <c r="AG96" s="98">
        <v>493.9247258717771</v>
      </c>
      <c r="AH96" s="98">
        <v>138.2989232440976</v>
      </c>
      <c r="AI96" s="100">
        <v>0.0199</v>
      </c>
      <c r="AJ96" s="100">
        <v>0.7621</v>
      </c>
      <c r="AK96" s="100">
        <v>0.767402</v>
      </c>
      <c r="AL96" s="100">
        <v>0.722882</v>
      </c>
      <c r="AM96" s="100">
        <v>0.60562</v>
      </c>
      <c r="AN96" s="100">
        <v>0.608939</v>
      </c>
      <c r="AO96" s="98">
        <v>2113.9978267312063</v>
      </c>
      <c r="AP96" s="157">
        <v>1.1097</v>
      </c>
      <c r="AQ96" s="100">
        <v>0.11214953271028037</v>
      </c>
      <c r="AR96" s="100">
        <v>0.5217391304347826</v>
      </c>
      <c r="AS96" s="98">
        <v>187.69139583127532</v>
      </c>
      <c r="AT96" s="98">
        <v>316.1118245579374</v>
      </c>
      <c r="AU96" s="98">
        <v>158.0559122789687</v>
      </c>
      <c r="AV96" s="98">
        <v>395.1397806974217</v>
      </c>
      <c r="AW96" s="98">
        <v>819.91504494715</v>
      </c>
      <c r="AX96" s="98">
        <v>108.66343969179097</v>
      </c>
      <c r="AY96" s="98">
        <v>740.8870888076657</v>
      </c>
      <c r="AZ96" s="98">
        <v>414.8967697322928</v>
      </c>
      <c r="BA96" s="100">
        <v>0.1951219512195122</v>
      </c>
      <c r="BB96" s="100">
        <v>0.6097560975609756</v>
      </c>
      <c r="BC96" s="100">
        <v>0.1951219512195122</v>
      </c>
      <c r="BD96" s="157">
        <v>0.966</v>
      </c>
      <c r="BE96" s="157">
        <v>1.2688</v>
      </c>
      <c r="BF96" s="161">
        <v>1219</v>
      </c>
      <c r="BG96" s="161">
        <v>1178</v>
      </c>
      <c r="BH96" s="161">
        <v>2443</v>
      </c>
      <c r="BI96" s="161">
        <v>1032</v>
      </c>
      <c r="BJ96" s="161">
        <v>537</v>
      </c>
      <c r="BK96" s="97"/>
      <c r="BL96" s="97"/>
      <c r="BM96" s="97"/>
      <c r="BN96" s="97"/>
    </row>
    <row r="97" spans="1:66" ht="12.75">
      <c r="A97" s="79" t="s">
        <v>413</v>
      </c>
      <c r="B97" s="79" t="s">
        <v>177</v>
      </c>
      <c r="C97" s="79" t="s">
        <v>392</v>
      </c>
      <c r="D97" s="99">
        <v>1766</v>
      </c>
      <c r="E97" s="99">
        <v>405</v>
      </c>
      <c r="F97" s="99" t="s">
        <v>199</v>
      </c>
      <c r="G97" s="99">
        <v>13</v>
      </c>
      <c r="H97" s="99">
        <v>9</v>
      </c>
      <c r="I97" s="99">
        <v>51</v>
      </c>
      <c r="J97" s="99">
        <v>174</v>
      </c>
      <c r="K97" s="99">
        <v>166</v>
      </c>
      <c r="L97" s="99">
        <v>281</v>
      </c>
      <c r="M97" s="99">
        <v>152</v>
      </c>
      <c r="N97" s="99">
        <v>78</v>
      </c>
      <c r="O97" s="99">
        <v>64</v>
      </c>
      <c r="P97" s="158">
        <v>64</v>
      </c>
      <c r="Q97" s="99" t="s">
        <v>972</v>
      </c>
      <c r="R97" s="99">
        <v>15</v>
      </c>
      <c r="S97" s="99">
        <v>8</v>
      </c>
      <c r="T97" s="99">
        <v>11</v>
      </c>
      <c r="U97" s="99" t="s">
        <v>972</v>
      </c>
      <c r="V97" s="99">
        <v>16</v>
      </c>
      <c r="W97" s="99">
        <v>15</v>
      </c>
      <c r="X97" s="99" t="s">
        <v>972</v>
      </c>
      <c r="Y97" s="99">
        <v>16</v>
      </c>
      <c r="Z97" s="99">
        <v>12</v>
      </c>
      <c r="AA97" s="99" t="s">
        <v>972</v>
      </c>
      <c r="AB97" s="99" t="s">
        <v>972</v>
      </c>
      <c r="AC97" s="99" t="s">
        <v>972</v>
      </c>
      <c r="AD97" s="98" t="s">
        <v>181</v>
      </c>
      <c r="AE97" s="100">
        <v>0.22933182332955832</v>
      </c>
      <c r="AF97" s="100">
        <v>0.16</v>
      </c>
      <c r="AG97" s="98">
        <v>736.1268403171008</v>
      </c>
      <c r="AH97" s="98">
        <v>509.62627406568515</v>
      </c>
      <c r="AI97" s="100">
        <v>0.028900000000000002</v>
      </c>
      <c r="AJ97" s="100">
        <v>0.75</v>
      </c>
      <c r="AK97" s="100">
        <v>0.741071</v>
      </c>
      <c r="AL97" s="100">
        <v>0.737533</v>
      </c>
      <c r="AM97" s="100">
        <v>0.589147</v>
      </c>
      <c r="AN97" s="100">
        <v>0.561151</v>
      </c>
      <c r="AO97" s="98">
        <v>3624.00906002265</v>
      </c>
      <c r="AP97" s="157">
        <v>1.5859</v>
      </c>
      <c r="AQ97" s="100" t="s">
        <v>972</v>
      </c>
      <c r="AR97" s="100" t="s">
        <v>972</v>
      </c>
      <c r="AS97" s="98">
        <v>453.00113250283124</v>
      </c>
      <c r="AT97" s="98">
        <v>622.876557191393</v>
      </c>
      <c r="AU97" s="98" t="s">
        <v>972</v>
      </c>
      <c r="AV97" s="98">
        <v>906.0022650056625</v>
      </c>
      <c r="AW97" s="98">
        <v>849.3771234428086</v>
      </c>
      <c r="AX97" s="98" t="s">
        <v>972</v>
      </c>
      <c r="AY97" s="98">
        <v>906.0022650056625</v>
      </c>
      <c r="AZ97" s="98">
        <v>679.5016987542468</v>
      </c>
      <c r="BA97" s="100" t="s">
        <v>972</v>
      </c>
      <c r="BB97" s="100" t="s">
        <v>972</v>
      </c>
      <c r="BC97" s="100" t="s">
        <v>972</v>
      </c>
      <c r="BD97" s="157">
        <v>1.2213</v>
      </c>
      <c r="BE97" s="157">
        <v>2.0251</v>
      </c>
      <c r="BF97" s="161">
        <v>232</v>
      </c>
      <c r="BG97" s="161">
        <v>224</v>
      </c>
      <c r="BH97" s="161">
        <v>381</v>
      </c>
      <c r="BI97" s="161">
        <v>258</v>
      </c>
      <c r="BJ97" s="161">
        <v>139</v>
      </c>
      <c r="BK97" s="97"/>
      <c r="BL97" s="97"/>
      <c r="BM97" s="97"/>
      <c r="BN97" s="97"/>
    </row>
    <row r="98" spans="1:66" ht="12.75">
      <c r="A98" s="79" t="s">
        <v>400</v>
      </c>
      <c r="B98" s="79" t="s">
        <v>108</v>
      </c>
      <c r="C98" s="79" t="s">
        <v>392</v>
      </c>
      <c r="D98" s="99">
        <v>10145</v>
      </c>
      <c r="E98" s="99">
        <v>1772</v>
      </c>
      <c r="F98" s="99" t="s">
        <v>200</v>
      </c>
      <c r="G98" s="99">
        <v>44</v>
      </c>
      <c r="H98" s="99">
        <v>25</v>
      </c>
      <c r="I98" s="99">
        <v>178</v>
      </c>
      <c r="J98" s="99">
        <v>845</v>
      </c>
      <c r="K98" s="99" t="s">
        <v>972</v>
      </c>
      <c r="L98" s="99">
        <v>1815</v>
      </c>
      <c r="M98" s="99">
        <v>632</v>
      </c>
      <c r="N98" s="99">
        <v>320</v>
      </c>
      <c r="O98" s="99">
        <v>276</v>
      </c>
      <c r="P98" s="158">
        <v>276</v>
      </c>
      <c r="Q98" s="99">
        <v>32</v>
      </c>
      <c r="R98" s="99">
        <v>56</v>
      </c>
      <c r="S98" s="99">
        <v>43</v>
      </c>
      <c r="T98" s="99">
        <v>50</v>
      </c>
      <c r="U98" s="99">
        <v>15</v>
      </c>
      <c r="V98" s="99">
        <v>55</v>
      </c>
      <c r="W98" s="99">
        <v>77</v>
      </c>
      <c r="X98" s="99">
        <v>15</v>
      </c>
      <c r="Y98" s="99">
        <v>82</v>
      </c>
      <c r="Z98" s="99">
        <v>62</v>
      </c>
      <c r="AA98" s="99">
        <v>8</v>
      </c>
      <c r="AB98" s="99">
        <v>32</v>
      </c>
      <c r="AC98" s="99">
        <v>12</v>
      </c>
      <c r="AD98" s="98" t="s">
        <v>181</v>
      </c>
      <c r="AE98" s="100">
        <v>0.17466732380482997</v>
      </c>
      <c r="AF98" s="100">
        <v>0.23</v>
      </c>
      <c r="AG98" s="98">
        <v>433.7111877772302</v>
      </c>
      <c r="AH98" s="98">
        <v>246.4268112370626</v>
      </c>
      <c r="AI98" s="100">
        <v>0.0175</v>
      </c>
      <c r="AJ98" s="100">
        <v>0.676541</v>
      </c>
      <c r="AK98" s="100" t="s">
        <v>972</v>
      </c>
      <c r="AL98" s="100">
        <v>0.776637</v>
      </c>
      <c r="AM98" s="100">
        <v>0.552931</v>
      </c>
      <c r="AN98" s="100">
        <v>0.547945</v>
      </c>
      <c r="AO98" s="98">
        <v>2720.551996057171</v>
      </c>
      <c r="AP98" s="157">
        <v>1.3608000000000002</v>
      </c>
      <c r="AQ98" s="100">
        <v>0.11594202898550725</v>
      </c>
      <c r="AR98" s="100">
        <v>0.5714285714285714</v>
      </c>
      <c r="AS98" s="98">
        <v>423.85411532774765</v>
      </c>
      <c r="AT98" s="98">
        <v>492.8536224741252</v>
      </c>
      <c r="AU98" s="98">
        <v>147.85608674223755</v>
      </c>
      <c r="AV98" s="98">
        <v>542.1389847215377</v>
      </c>
      <c r="AW98" s="98">
        <v>758.9945786101528</v>
      </c>
      <c r="AX98" s="98">
        <v>147.85608674223755</v>
      </c>
      <c r="AY98" s="98">
        <v>808.2799408575653</v>
      </c>
      <c r="AZ98" s="98">
        <v>611.1384918679153</v>
      </c>
      <c r="BA98" s="100">
        <v>0.15384615384615385</v>
      </c>
      <c r="BB98" s="100">
        <v>0.6153846153846154</v>
      </c>
      <c r="BC98" s="100">
        <v>0.23076923076923078</v>
      </c>
      <c r="BD98" s="157">
        <v>1.205</v>
      </c>
      <c r="BE98" s="157">
        <v>1.5312000000000001</v>
      </c>
      <c r="BF98" s="161">
        <v>1249</v>
      </c>
      <c r="BG98" s="161" t="s">
        <v>972</v>
      </c>
      <c r="BH98" s="161">
        <v>2337</v>
      </c>
      <c r="BI98" s="161">
        <v>1143</v>
      </c>
      <c r="BJ98" s="161">
        <v>584</v>
      </c>
      <c r="BK98" s="97"/>
      <c r="BL98" s="97"/>
      <c r="BM98" s="97"/>
      <c r="BN98" s="97"/>
    </row>
    <row r="99" spans="1:66" ht="12.75">
      <c r="A99" s="79" t="s">
        <v>976</v>
      </c>
      <c r="B99" s="79" t="s">
        <v>85</v>
      </c>
      <c r="C99" s="79" t="s">
        <v>392</v>
      </c>
      <c r="D99" s="99">
        <v>7728</v>
      </c>
      <c r="E99" s="99">
        <v>1237</v>
      </c>
      <c r="F99" s="99" t="s">
        <v>202</v>
      </c>
      <c r="G99" s="99">
        <v>33</v>
      </c>
      <c r="H99" s="99">
        <v>20</v>
      </c>
      <c r="I99" s="99">
        <v>82</v>
      </c>
      <c r="J99" s="99">
        <v>692</v>
      </c>
      <c r="K99" s="99">
        <v>647</v>
      </c>
      <c r="L99" s="99">
        <v>1643</v>
      </c>
      <c r="M99" s="99">
        <v>469</v>
      </c>
      <c r="N99" s="99">
        <v>229</v>
      </c>
      <c r="O99" s="99">
        <v>210</v>
      </c>
      <c r="P99" s="158">
        <v>210</v>
      </c>
      <c r="Q99" s="99">
        <v>17</v>
      </c>
      <c r="R99" s="99">
        <v>39</v>
      </c>
      <c r="S99" s="99">
        <v>39</v>
      </c>
      <c r="T99" s="99">
        <v>47</v>
      </c>
      <c r="U99" s="99" t="s">
        <v>972</v>
      </c>
      <c r="V99" s="99">
        <v>43</v>
      </c>
      <c r="W99" s="99">
        <v>63</v>
      </c>
      <c r="X99" s="99">
        <v>30</v>
      </c>
      <c r="Y99" s="99">
        <v>81</v>
      </c>
      <c r="Z99" s="99">
        <v>55</v>
      </c>
      <c r="AA99" s="99">
        <v>15</v>
      </c>
      <c r="AB99" s="99">
        <v>16</v>
      </c>
      <c r="AC99" s="99">
        <v>8</v>
      </c>
      <c r="AD99" s="98" t="s">
        <v>181</v>
      </c>
      <c r="AE99" s="100">
        <v>0.1600672877846791</v>
      </c>
      <c r="AF99" s="100">
        <v>0.12</v>
      </c>
      <c r="AG99" s="98">
        <v>427.01863354037266</v>
      </c>
      <c r="AH99" s="98">
        <v>258.7991718426501</v>
      </c>
      <c r="AI99" s="100">
        <v>0.0106</v>
      </c>
      <c r="AJ99" s="100">
        <v>0.731501</v>
      </c>
      <c r="AK99" s="100">
        <v>0.704793</v>
      </c>
      <c r="AL99" s="100">
        <v>0.759944</v>
      </c>
      <c r="AM99" s="100">
        <v>0.584788</v>
      </c>
      <c r="AN99" s="100">
        <v>0.5725</v>
      </c>
      <c r="AO99" s="98">
        <v>2717.391304347826</v>
      </c>
      <c r="AP99" s="157">
        <v>1.3374000000000001</v>
      </c>
      <c r="AQ99" s="100">
        <v>0.08095238095238096</v>
      </c>
      <c r="AR99" s="100">
        <v>0.4358974358974359</v>
      </c>
      <c r="AS99" s="98">
        <v>504.6583850931677</v>
      </c>
      <c r="AT99" s="98">
        <v>608.1780538302278</v>
      </c>
      <c r="AU99" s="98" t="s">
        <v>972</v>
      </c>
      <c r="AV99" s="98">
        <v>556.4182194616977</v>
      </c>
      <c r="AW99" s="98">
        <v>815.2173913043479</v>
      </c>
      <c r="AX99" s="98">
        <v>388.19875776397515</v>
      </c>
      <c r="AY99" s="98">
        <v>1048.136645962733</v>
      </c>
      <c r="AZ99" s="98">
        <v>711.6977225672878</v>
      </c>
      <c r="BA99" s="100">
        <v>0.38461538461538464</v>
      </c>
      <c r="BB99" s="100">
        <v>0.41025641025641024</v>
      </c>
      <c r="BC99" s="100">
        <v>0.20512820512820512</v>
      </c>
      <c r="BD99" s="157">
        <v>1.1626</v>
      </c>
      <c r="BE99" s="157">
        <v>1.531</v>
      </c>
      <c r="BF99" s="161">
        <v>946</v>
      </c>
      <c r="BG99" s="161">
        <v>918</v>
      </c>
      <c r="BH99" s="161">
        <v>2162</v>
      </c>
      <c r="BI99" s="161">
        <v>802</v>
      </c>
      <c r="BJ99" s="161">
        <v>400</v>
      </c>
      <c r="BK99" s="97"/>
      <c r="BL99" s="97"/>
      <c r="BM99" s="97"/>
      <c r="BN99" s="97"/>
    </row>
    <row r="100" spans="1:66" ht="12.75">
      <c r="A100" s="79" t="s">
        <v>394</v>
      </c>
      <c r="B100" s="79" t="s">
        <v>66</v>
      </c>
      <c r="C100" s="79" t="s">
        <v>392</v>
      </c>
      <c r="D100" s="99">
        <v>33486</v>
      </c>
      <c r="E100" s="99">
        <v>3974</v>
      </c>
      <c r="F100" s="99" t="s">
        <v>201</v>
      </c>
      <c r="G100" s="99">
        <v>159</v>
      </c>
      <c r="H100" s="99">
        <v>57</v>
      </c>
      <c r="I100" s="99">
        <v>234</v>
      </c>
      <c r="J100" s="99">
        <v>1972</v>
      </c>
      <c r="K100" s="99">
        <v>21</v>
      </c>
      <c r="L100" s="99">
        <v>4138</v>
      </c>
      <c r="M100" s="99">
        <v>1443</v>
      </c>
      <c r="N100" s="99">
        <v>696</v>
      </c>
      <c r="O100" s="99">
        <v>522</v>
      </c>
      <c r="P100" s="158">
        <v>522</v>
      </c>
      <c r="Q100" s="99">
        <v>39</v>
      </c>
      <c r="R100" s="99">
        <v>79</v>
      </c>
      <c r="S100" s="99">
        <v>123</v>
      </c>
      <c r="T100" s="99">
        <v>81</v>
      </c>
      <c r="U100" s="99">
        <v>17</v>
      </c>
      <c r="V100" s="99">
        <v>99</v>
      </c>
      <c r="W100" s="99">
        <v>160</v>
      </c>
      <c r="X100" s="99">
        <v>115</v>
      </c>
      <c r="Y100" s="99">
        <v>290</v>
      </c>
      <c r="Z100" s="99">
        <v>156</v>
      </c>
      <c r="AA100" s="99">
        <v>27</v>
      </c>
      <c r="AB100" s="99">
        <v>46</v>
      </c>
      <c r="AC100" s="99">
        <v>30</v>
      </c>
      <c r="AD100" s="98" t="s">
        <v>181</v>
      </c>
      <c r="AE100" s="100">
        <v>0.11867646180493341</v>
      </c>
      <c r="AF100" s="100">
        <v>0.09</v>
      </c>
      <c r="AG100" s="98">
        <v>474.82530012542554</v>
      </c>
      <c r="AH100" s="98">
        <v>170.22039061100162</v>
      </c>
      <c r="AI100" s="100">
        <v>0.006999999999999999</v>
      </c>
      <c r="AJ100" s="100">
        <v>0.728751</v>
      </c>
      <c r="AK100" s="100">
        <v>0.466667</v>
      </c>
      <c r="AL100" s="100">
        <v>0.747471</v>
      </c>
      <c r="AM100" s="100">
        <v>0.598011</v>
      </c>
      <c r="AN100" s="100">
        <v>0.564477</v>
      </c>
      <c r="AO100" s="98">
        <v>1558.860419279699</v>
      </c>
      <c r="AP100" s="157">
        <v>1.0141</v>
      </c>
      <c r="AQ100" s="100">
        <v>0.07471264367816093</v>
      </c>
      <c r="AR100" s="100">
        <v>0.4936708860759494</v>
      </c>
      <c r="AS100" s="98">
        <v>367.3176850026877</v>
      </c>
      <c r="AT100" s="98">
        <v>241.8921340261602</v>
      </c>
      <c r="AU100" s="98">
        <v>50.767484919070654</v>
      </c>
      <c r="AV100" s="98">
        <v>295.64594158752914</v>
      </c>
      <c r="AW100" s="98">
        <v>477.8116227677238</v>
      </c>
      <c r="AX100" s="98">
        <v>343.4271038643015</v>
      </c>
      <c r="AY100" s="98">
        <v>866.0335662664994</v>
      </c>
      <c r="AZ100" s="98">
        <v>465.86633219853076</v>
      </c>
      <c r="BA100" s="100">
        <v>0.2621359223300971</v>
      </c>
      <c r="BB100" s="100">
        <v>0.44660194174757284</v>
      </c>
      <c r="BC100" s="100">
        <v>0.2912621359223301</v>
      </c>
      <c r="BD100" s="157">
        <v>0.929</v>
      </c>
      <c r="BE100" s="157">
        <v>1.105</v>
      </c>
      <c r="BF100" s="161">
        <v>2706</v>
      </c>
      <c r="BG100" s="161">
        <v>45</v>
      </c>
      <c r="BH100" s="161">
        <v>5536</v>
      </c>
      <c r="BI100" s="161">
        <v>2413</v>
      </c>
      <c r="BJ100" s="161">
        <v>1233</v>
      </c>
      <c r="BK100" s="97"/>
      <c r="BL100" s="97"/>
      <c r="BM100" s="97"/>
      <c r="BN100" s="97"/>
    </row>
    <row r="101" spans="1:66" ht="12.75">
      <c r="A101" s="79" t="s">
        <v>397</v>
      </c>
      <c r="B101" s="79" t="s">
        <v>81</v>
      </c>
      <c r="C101" s="79" t="s">
        <v>392</v>
      </c>
      <c r="D101" s="99">
        <v>8405</v>
      </c>
      <c r="E101" s="99">
        <v>2034</v>
      </c>
      <c r="F101" s="99" t="s">
        <v>201</v>
      </c>
      <c r="G101" s="99">
        <v>46</v>
      </c>
      <c r="H101" s="99">
        <v>27</v>
      </c>
      <c r="I101" s="99">
        <v>183</v>
      </c>
      <c r="J101" s="99">
        <v>1238</v>
      </c>
      <c r="K101" s="99">
        <v>1190</v>
      </c>
      <c r="L101" s="99">
        <v>1615</v>
      </c>
      <c r="M101" s="99">
        <v>925</v>
      </c>
      <c r="N101" s="99">
        <v>477</v>
      </c>
      <c r="O101" s="99">
        <v>286</v>
      </c>
      <c r="P101" s="158">
        <v>286</v>
      </c>
      <c r="Q101" s="99">
        <v>47</v>
      </c>
      <c r="R101" s="99">
        <v>100</v>
      </c>
      <c r="S101" s="99">
        <v>45</v>
      </c>
      <c r="T101" s="99">
        <v>42</v>
      </c>
      <c r="U101" s="99">
        <v>6</v>
      </c>
      <c r="V101" s="99">
        <v>77</v>
      </c>
      <c r="W101" s="99">
        <v>57</v>
      </c>
      <c r="X101" s="99">
        <v>10</v>
      </c>
      <c r="Y101" s="99">
        <v>51</v>
      </c>
      <c r="Z101" s="99">
        <v>38</v>
      </c>
      <c r="AA101" s="99" t="s">
        <v>972</v>
      </c>
      <c r="AB101" s="99">
        <v>18</v>
      </c>
      <c r="AC101" s="99" t="s">
        <v>972</v>
      </c>
      <c r="AD101" s="98" t="s">
        <v>181</v>
      </c>
      <c r="AE101" s="100">
        <v>0.24199881023200476</v>
      </c>
      <c r="AF101" s="100">
        <v>0.1</v>
      </c>
      <c r="AG101" s="98">
        <v>547.2932778108269</v>
      </c>
      <c r="AH101" s="98">
        <v>321.23735871505056</v>
      </c>
      <c r="AI101" s="100">
        <v>0.0218</v>
      </c>
      <c r="AJ101" s="100">
        <v>0.831989</v>
      </c>
      <c r="AK101" s="100">
        <v>0.825815</v>
      </c>
      <c r="AL101" s="100">
        <v>0.790117</v>
      </c>
      <c r="AM101" s="100">
        <v>0.660714</v>
      </c>
      <c r="AN101" s="100">
        <v>0.657025</v>
      </c>
      <c r="AO101" s="98">
        <v>3402.736466389054</v>
      </c>
      <c r="AP101" s="157">
        <v>1.3573</v>
      </c>
      <c r="AQ101" s="100">
        <v>0.16433566433566432</v>
      </c>
      <c r="AR101" s="100">
        <v>0.47</v>
      </c>
      <c r="AS101" s="98">
        <v>535.3955978584177</v>
      </c>
      <c r="AT101" s="98">
        <v>499.70255800118974</v>
      </c>
      <c r="AU101" s="98">
        <v>71.38607971445568</v>
      </c>
      <c r="AV101" s="98">
        <v>916.1213563355145</v>
      </c>
      <c r="AW101" s="98">
        <v>678.167757287329</v>
      </c>
      <c r="AX101" s="98">
        <v>118.9767995240928</v>
      </c>
      <c r="AY101" s="98">
        <v>606.7816775728733</v>
      </c>
      <c r="AZ101" s="98">
        <v>452.11183819155264</v>
      </c>
      <c r="BA101" s="100" t="s">
        <v>972</v>
      </c>
      <c r="BB101" s="100">
        <v>0.5</v>
      </c>
      <c r="BC101" s="100" t="s">
        <v>972</v>
      </c>
      <c r="BD101" s="157">
        <v>1.2045000000000001</v>
      </c>
      <c r="BE101" s="157">
        <v>1.524</v>
      </c>
      <c r="BF101" s="161">
        <v>1488</v>
      </c>
      <c r="BG101" s="161">
        <v>1441</v>
      </c>
      <c r="BH101" s="161">
        <v>2044</v>
      </c>
      <c r="BI101" s="161">
        <v>1400</v>
      </c>
      <c r="BJ101" s="161">
        <v>726</v>
      </c>
      <c r="BK101" s="97"/>
      <c r="BL101" s="97"/>
      <c r="BM101" s="97"/>
      <c r="BN101" s="97"/>
    </row>
    <row r="102" spans="1:66" ht="12.75">
      <c r="A102" s="79" t="s">
        <v>314</v>
      </c>
      <c r="B102" s="79" t="s">
        <v>105</v>
      </c>
      <c r="C102" s="79" t="s">
        <v>392</v>
      </c>
      <c r="D102" s="99">
        <v>7329</v>
      </c>
      <c r="E102" s="99">
        <v>842</v>
      </c>
      <c r="F102" s="99" t="s">
        <v>199</v>
      </c>
      <c r="G102" s="99">
        <v>45</v>
      </c>
      <c r="H102" s="99">
        <v>21</v>
      </c>
      <c r="I102" s="99">
        <v>117</v>
      </c>
      <c r="J102" s="99">
        <v>537</v>
      </c>
      <c r="K102" s="99">
        <v>485</v>
      </c>
      <c r="L102" s="99">
        <v>1391</v>
      </c>
      <c r="M102" s="99">
        <v>377</v>
      </c>
      <c r="N102" s="99">
        <v>194</v>
      </c>
      <c r="O102" s="99">
        <v>206</v>
      </c>
      <c r="P102" s="158">
        <v>206</v>
      </c>
      <c r="Q102" s="99">
        <v>14</v>
      </c>
      <c r="R102" s="99">
        <v>34</v>
      </c>
      <c r="S102" s="99">
        <v>17</v>
      </c>
      <c r="T102" s="99">
        <v>35</v>
      </c>
      <c r="U102" s="99">
        <v>7</v>
      </c>
      <c r="V102" s="99">
        <v>59</v>
      </c>
      <c r="W102" s="99">
        <v>47</v>
      </c>
      <c r="X102" s="99">
        <v>11</v>
      </c>
      <c r="Y102" s="99">
        <v>47</v>
      </c>
      <c r="Z102" s="99">
        <v>29</v>
      </c>
      <c r="AA102" s="99">
        <v>13</v>
      </c>
      <c r="AB102" s="99" t="s">
        <v>972</v>
      </c>
      <c r="AC102" s="99" t="s">
        <v>972</v>
      </c>
      <c r="AD102" s="98" t="s">
        <v>181</v>
      </c>
      <c r="AE102" s="100">
        <v>0.11488606904079683</v>
      </c>
      <c r="AF102" s="100">
        <v>0.21</v>
      </c>
      <c r="AG102" s="98">
        <v>613.9991813344249</v>
      </c>
      <c r="AH102" s="98">
        <v>286.5329512893983</v>
      </c>
      <c r="AI102" s="100">
        <v>0.016</v>
      </c>
      <c r="AJ102" s="100">
        <v>0.733607</v>
      </c>
      <c r="AK102" s="100">
        <v>0.709064</v>
      </c>
      <c r="AL102" s="100">
        <v>0.722597</v>
      </c>
      <c r="AM102" s="100">
        <v>0.576453</v>
      </c>
      <c r="AN102" s="100">
        <v>0.565598</v>
      </c>
      <c r="AO102" s="98">
        <v>2810.751807886478</v>
      </c>
      <c r="AP102" s="157">
        <v>1.5916</v>
      </c>
      <c r="AQ102" s="100">
        <v>0.06796116504854369</v>
      </c>
      <c r="AR102" s="100">
        <v>0.4117647058823529</v>
      </c>
      <c r="AS102" s="98">
        <v>231.95524628189384</v>
      </c>
      <c r="AT102" s="98">
        <v>477.5549188156638</v>
      </c>
      <c r="AU102" s="98">
        <v>95.51098376313276</v>
      </c>
      <c r="AV102" s="98">
        <v>805.0211488606905</v>
      </c>
      <c r="AW102" s="98">
        <v>641.2880338381771</v>
      </c>
      <c r="AX102" s="98">
        <v>150.0886887706372</v>
      </c>
      <c r="AY102" s="98">
        <v>641.2880338381771</v>
      </c>
      <c r="AZ102" s="98">
        <v>395.6883613044071</v>
      </c>
      <c r="BA102" s="100">
        <v>0.43333333333333335</v>
      </c>
      <c r="BB102" s="100" t="s">
        <v>972</v>
      </c>
      <c r="BC102" s="100" t="s">
        <v>972</v>
      </c>
      <c r="BD102" s="157">
        <v>1.3817</v>
      </c>
      <c r="BE102" s="157">
        <v>1.8244</v>
      </c>
      <c r="BF102" s="161">
        <v>732</v>
      </c>
      <c r="BG102" s="161">
        <v>684</v>
      </c>
      <c r="BH102" s="161">
        <v>1925</v>
      </c>
      <c r="BI102" s="161">
        <v>654</v>
      </c>
      <c r="BJ102" s="161">
        <v>343</v>
      </c>
      <c r="BK102" s="97"/>
      <c r="BL102" s="97"/>
      <c r="BM102" s="97"/>
      <c r="BN102" s="97"/>
    </row>
    <row r="103" spans="1:66" ht="12.75">
      <c r="A103" s="79" t="s">
        <v>338</v>
      </c>
      <c r="B103" s="79" t="s">
        <v>135</v>
      </c>
      <c r="C103" s="79" t="s">
        <v>392</v>
      </c>
      <c r="D103" s="99">
        <v>1903</v>
      </c>
      <c r="E103" s="99">
        <v>441</v>
      </c>
      <c r="F103" s="99" t="s">
        <v>202</v>
      </c>
      <c r="G103" s="99">
        <v>11</v>
      </c>
      <c r="H103" s="99">
        <v>8</v>
      </c>
      <c r="I103" s="99">
        <v>38</v>
      </c>
      <c r="J103" s="99">
        <v>175</v>
      </c>
      <c r="K103" s="99" t="s">
        <v>972</v>
      </c>
      <c r="L103" s="99">
        <v>307</v>
      </c>
      <c r="M103" s="99">
        <v>148</v>
      </c>
      <c r="N103" s="99">
        <v>87</v>
      </c>
      <c r="O103" s="99">
        <v>34</v>
      </c>
      <c r="P103" s="158">
        <v>34</v>
      </c>
      <c r="Q103" s="99">
        <v>6</v>
      </c>
      <c r="R103" s="99">
        <v>11</v>
      </c>
      <c r="S103" s="99">
        <v>9</v>
      </c>
      <c r="T103" s="99">
        <v>7</v>
      </c>
      <c r="U103" s="99" t="s">
        <v>972</v>
      </c>
      <c r="V103" s="99" t="s">
        <v>972</v>
      </c>
      <c r="W103" s="99">
        <v>15</v>
      </c>
      <c r="X103" s="99" t="s">
        <v>972</v>
      </c>
      <c r="Y103" s="99">
        <v>15</v>
      </c>
      <c r="Z103" s="99">
        <v>10</v>
      </c>
      <c r="AA103" s="99" t="s">
        <v>972</v>
      </c>
      <c r="AB103" s="99">
        <v>13</v>
      </c>
      <c r="AC103" s="99" t="s">
        <v>972</v>
      </c>
      <c r="AD103" s="98" t="s">
        <v>181</v>
      </c>
      <c r="AE103" s="100">
        <v>0.23173935890698896</v>
      </c>
      <c r="AF103" s="100">
        <v>0.15</v>
      </c>
      <c r="AG103" s="98">
        <v>578.0346820809249</v>
      </c>
      <c r="AH103" s="98">
        <v>420.38885969521806</v>
      </c>
      <c r="AI103" s="100">
        <v>0.02</v>
      </c>
      <c r="AJ103" s="100">
        <v>0.714286</v>
      </c>
      <c r="AK103" s="100" t="s">
        <v>972</v>
      </c>
      <c r="AL103" s="100">
        <v>0.807895</v>
      </c>
      <c r="AM103" s="100">
        <v>0.548148</v>
      </c>
      <c r="AN103" s="100">
        <v>0.591837</v>
      </c>
      <c r="AO103" s="98">
        <v>1786.6526537046768</v>
      </c>
      <c r="AP103" s="157">
        <v>0.7735</v>
      </c>
      <c r="AQ103" s="100">
        <v>0.17647058823529413</v>
      </c>
      <c r="AR103" s="100">
        <v>0.5454545454545454</v>
      </c>
      <c r="AS103" s="98">
        <v>472.93746715712035</v>
      </c>
      <c r="AT103" s="98">
        <v>367.8402522333158</v>
      </c>
      <c r="AU103" s="98" t="s">
        <v>972</v>
      </c>
      <c r="AV103" s="98" t="s">
        <v>972</v>
      </c>
      <c r="AW103" s="98">
        <v>788.2291119285339</v>
      </c>
      <c r="AX103" s="98" t="s">
        <v>972</v>
      </c>
      <c r="AY103" s="98">
        <v>788.2291119285339</v>
      </c>
      <c r="AZ103" s="98">
        <v>525.4860746190226</v>
      </c>
      <c r="BA103" s="100" t="s">
        <v>972</v>
      </c>
      <c r="BB103" s="100">
        <v>0.5909090909090909</v>
      </c>
      <c r="BC103" s="100" t="s">
        <v>972</v>
      </c>
      <c r="BD103" s="157">
        <v>0.5357</v>
      </c>
      <c r="BE103" s="157">
        <v>1.0809</v>
      </c>
      <c r="BF103" s="161">
        <v>245</v>
      </c>
      <c r="BG103" s="161" t="s">
        <v>972</v>
      </c>
      <c r="BH103" s="161">
        <v>380</v>
      </c>
      <c r="BI103" s="161">
        <v>270</v>
      </c>
      <c r="BJ103" s="161">
        <v>147</v>
      </c>
      <c r="BK103" s="97"/>
      <c r="BL103" s="97"/>
      <c r="BM103" s="97"/>
      <c r="BN103" s="97"/>
    </row>
    <row r="104" spans="1:66" ht="12.75">
      <c r="A104" s="79" t="s">
        <v>398</v>
      </c>
      <c r="B104" s="79" t="s">
        <v>86</v>
      </c>
      <c r="C104" s="79" t="s">
        <v>392</v>
      </c>
      <c r="D104" s="99">
        <v>7256</v>
      </c>
      <c r="E104" s="99">
        <v>1954</v>
      </c>
      <c r="F104" s="99" t="s">
        <v>203</v>
      </c>
      <c r="G104" s="99">
        <v>66</v>
      </c>
      <c r="H104" s="99">
        <v>20</v>
      </c>
      <c r="I104" s="99">
        <v>222</v>
      </c>
      <c r="J104" s="99">
        <v>790</v>
      </c>
      <c r="K104" s="99">
        <v>24</v>
      </c>
      <c r="L104" s="99">
        <v>1389</v>
      </c>
      <c r="M104" s="99">
        <v>735</v>
      </c>
      <c r="N104" s="99">
        <v>363</v>
      </c>
      <c r="O104" s="99">
        <v>249</v>
      </c>
      <c r="P104" s="158">
        <v>249</v>
      </c>
      <c r="Q104" s="99">
        <v>33</v>
      </c>
      <c r="R104" s="99">
        <v>59</v>
      </c>
      <c r="S104" s="99">
        <v>29</v>
      </c>
      <c r="T104" s="99">
        <v>50</v>
      </c>
      <c r="U104" s="99">
        <v>7</v>
      </c>
      <c r="V104" s="99">
        <v>47</v>
      </c>
      <c r="W104" s="99">
        <v>44</v>
      </c>
      <c r="X104" s="99">
        <v>55</v>
      </c>
      <c r="Y104" s="99">
        <v>88</v>
      </c>
      <c r="Z104" s="99">
        <v>64</v>
      </c>
      <c r="AA104" s="99">
        <v>17</v>
      </c>
      <c r="AB104" s="99">
        <v>25</v>
      </c>
      <c r="AC104" s="99">
        <v>10</v>
      </c>
      <c r="AD104" s="98" t="s">
        <v>181</v>
      </c>
      <c r="AE104" s="100">
        <v>0.2692943770672547</v>
      </c>
      <c r="AF104" s="100">
        <v>0.07</v>
      </c>
      <c r="AG104" s="98">
        <v>909.5920617420066</v>
      </c>
      <c r="AH104" s="98">
        <v>275.63395810363835</v>
      </c>
      <c r="AI104" s="100">
        <v>0.030600000000000002</v>
      </c>
      <c r="AJ104" s="100">
        <v>0.671198</v>
      </c>
      <c r="AK104" s="100">
        <v>0.705882</v>
      </c>
      <c r="AL104" s="100">
        <v>0.829749</v>
      </c>
      <c r="AM104" s="100">
        <v>0.617128</v>
      </c>
      <c r="AN104" s="100">
        <v>0.625862</v>
      </c>
      <c r="AO104" s="98">
        <v>3431.6427783902977</v>
      </c>
      <c r="AP104" s="157">
        <v>1.3113</v>
      </c>
      <c r="AQ104" s="100">
        <v>0.13253012048192772</v>
      </c>
      <c r="AR104" s="100">
        <v>0.559322033898305</v>
      </c>
      <c r="AS104" s="98">
        <v>399.6692392502756</v>
      </c>
      <c r="AT104" s="98">
        <v>689.0848952590959</v>
      </c>
      <c r="AU104" s="98">
        <v>96.47188533627343</v>
      </c>
      <c r="AV104" s="98">
        <v>647.7398015435501</v>
      </c>
      <c r="AW104" s="98">
        <v>606.3947078280044</v>
      </c>
      <c r="AX104" s="98">
        <v>757.9933847850056</v>
      </c>
      <c r="AY104" s="98">
        <v>1212.7894156560087</v>
      </c>
      <c r="AZ104" s="98">
        <v>882.0286659316428</v>
      </c>
      <c r="BA104" s="100">
        <v>0.3269230769230769</v>
      </c>
      <c r="BB104" s="100">
        <v>0.4807692307692308</v>
      </c>
      <c r="BC104" s="100">
        <v>0.19230769230769232</v>
      </c>
      <c r="BD104" s="157">
        <v>1.1535</v>
      </c>
      <c r="BE104" s="157">
        <v>1.4847</v>
      </c>
      <c r="BF104" s="161">
        <v>1177</v>
      </c>
      <c r="BG104" s="161">
        <v>34</v>
      </c>
      <c r="BH104" s="161">
        <v>1674</v>
      </c>
      <c r="BI104" s="161">
        <v>1191</v>
      </c>
      <c r="BJ104" s="161">
        <v>580</v>
      </c>
      <c r="BK104" s="97"/>
      <c r="BL104" s="97"/>
      <c r="BM104" s="97"/>
      <c r="BN104" s="97"/>
    </row>
    <row r="105" spans="1:66" ht="12.75">
      <c r="A105" s="79" t="s">
        <v>403</v>
      </c>
      <c r="B105" s="79" t="s">
        <v>125</v>
      </c>
      <c r="C105" s="79" t="s">
        <v>392</v>
      </c>
      <c r="D105" s="99">
        <v>16274</v>
      </c>
      <c r="E105" s="99">
        <v>4052</v>
      </c>
      <c r="F105" s="99" t="s">
        <v>203</v>
      </c>
      <c r="G105" s="99">
        <v>83</v>
      </c>
      <c r="H105" s="99">
        <v>51</v>
      </c>
      <c r="I105" s="99">
        <v>296</v>
      </c>
      <c r="J105" s="99">
        <v>1908</v>
      </c>
      <c r="K105" s="99">
        <v>48</v>
      </c>
      <c r="L105" s="99">
        <v>3032</v>
      </c>
      <c r="M105" s="99">
        <v>1726</v>
      </c>
      <c r="N105" s="99">
        <v>843</v>
      </c>
      <c r="O105" s="99">
        <v>452</v>
      </c>
      <c r="P105" s="158">
        <v>452</v>
      </c>
      <c r="Q105" s="99">
        <v>53</v>
      </c>
      <c r="R105" s="99">
        <v>91</v>
      </c>
      <c r="S105" s="99">
        <v>96</v>
      </c>
      <c r="T105" s="99">
        <v>73</v>
      </c>
      <c r="U105" s="99">
        <v>14</v>
      </c>
      <c r="V105" s="99">
        <v>98</v>
      </c>
      <c r="W105" s="99">
        <v>124</v>
      </c>
      <c r="X105" s="99">
        <v>110</v>
      </c>
      <c r="Y105" s="99">
        <v>183</v>
      </c>
      <c r="Z105" s="99">
        <v>97</v>
      </c>
      <c r="AA105" s="99">
        <v>15</v>
      </c>
      <c r="AB105" s="99">
        <v>51</v>
      </c>
      <c r="AC105" s="99">
        <v>39</v>
      </c>
      <c r="AD105" s="98" t="s">
        <v>181</v>
      </c>
      <c r="AE105" s="100">
        <v>0.24898611281799188</v>
      </c>
      <c r="AF105" s="100">
        <v>0.07</v>
      </c>
      <c r="AG105" s="98">
        <v>510.0159764040801</v>
      </c>
      <c r="AH105" s="98">
        <v>313.3833108025071</v>
      </c>
      <c r="AI105" s="100">
        <v>0.0182</v>
      </c>
      <c r="AJ105" s="100">
        <v>0.754448</v>
      </c>
      <c r="AK105" s="100">
        <v>0.8</v>
      </c>
      <c r="AL105" s="100">
        <v>0.805098</v>
      </c>
      <c r="AM105" s="100">
        <v>0.686555</v>
      </c>
      <c r="AN105" s="100">
        <v>0.678198</v>
      </c>
      <c r="AO105" s="98">
        <v>2777.4364016222194</v>
      </c>
      <c r="AP105" s="157">
        <v>1.122</v>
      </c>
      <c r="AQ105" s="100">
        <v>0.1172566371681416</v>
      </c>
      <c r="AR105" s="100">
        <v>0.5824175824175825</v>
      </c>
      <c r="AS105" s="98">
        <v>589.8979968047191</v>
      </c>
      <c r="AT105" s="98">
        <v>448.56826840358855</v>
      </c>
      <c r="AU105" s="98">
        <v>86.02679120068821</v>
      </c>
      <c r="AV105" s="98">
        <v>602.1875384048175</v>
      </c>
      <c r="AW105" s="98">
        <v>761.9515792060956</v>
      </c>
      <c r="AX105" s="98">
        <v>675.9247880054074</v>
      </c>
      <c r="AY105" s="98">
        <v>1124.493056408996</v>
      </c>
      <c r="AZ105" s="98">
        <v>596.0427676047683</v>
      </c>
      <c r="BA105" s="100">
        <v>0.14285714285714285</v>
      </c>
      <c r="BB105" s="100">
        <v>0.4857142857142857</v>
      </c>
      <c r="BC105" s="100">
        <v>0.37142857142857144</v>
      </c>
      <c r="BD105" s="157">
        <v>1.0209000000000001</v>
      </c>
      <c r="BE105" s="157">
        <v>1.2303</v>
      </c>
      <c r="BF105" s="161">
        <v>2529</v>
      </c>
      <c r="BG105" s="161">
        <v>60</v>
      </c>
      <c r="BH105" s="161">
        <v>3766</v>
      </c>
      <c r="BI105" s="161">
        <v>2514</v>
      </c>
      <c r="BJ105" s="161">
        <v>1243</v>
      </c>
      <c r="BK105" s="97"/>
      <c r="BL105" s="97"/>
      <c r="BM105" s="97"/>
      <c r="BN105" s="97"/>
    </row>
    <row r="106" spans="1:66" ht="12.75">
      <c r="A106" s="79" t="s">
        <v>508</v>
      </c>
      <c r="B106" s="79" t="s">
        <v>179</v>
      </c>
      <c r="C106" s="79" t="s">
        <v>392</v>
      </c>
      <c r="D106" s="99">
        <v>3499</v>
      </c>
      <c r="E106" s="99">
        <v>320</v>
      </c>
      <c r="F106" s="99" t="s">
        <v>202</v>
      </c>
      <c r="G106" s="99">
        <v>10</v>
      </c>
      <c r="H106" s="99">
        <v>11</v>
      </c>
      <c r="I106" s="99">
        <v>47</v>
      </c>
      <c r="J106" s="99">
        <v>154</v>
      </c>
      <c r="K106" s="99" t="s">
        <v>972</v>
      </c>
      <c r="L106" s="99">
        <v>727</v>
      </c>
      <c r="M106" s="99">
        <v>102</v>
      </c>
      <c r="N106" s="99">
        <v>46</v>
      </c>
      <c r="O106" s="99">
        <v>37</v>
      </c>
      <c r="P106" s="158">
        <v>37</v>
      </c>
      <c r="Q106" s="99" t="s">
        <v>972</v>
      </c>
      <c r="R106" s="99">
        <v>7</v>
      </c>
      <c r="S106" s="99">
        <v>15</v>
      </c>
      <c r="T106" s="99" t="s">
        <v>972</v>
      </c>
      <c r="U106" s="99" t="s">
        <v>972</v>
      </c>
      <c r="V106" s="99">
        <v>11</v>
      </c>
      <c r="W106" s="99">
        <v>12</v>
      </c>
      <c r="X106" s="99" t="s">
        <v>972</v>
      </c>
      <c r="Y106" s="99">
        <v>9</v>
      </c>
      <c r="Z106" s="99">
        <v>10</v>
      </c>
      <c r="AA106" s="99" t="s">
        <v>972</v>
      </c>
      <c r="AB106" s="99" t="s">
        <v>972</v>
      </c>
      <c r="AC106" s="99" t="s">
        <v>972</v>
      </c>
      <c r="AD106" s="98" t="s">
        <v>181</v>
      </c>
      <c r="AE106" s="100">
        <v>0.09145470134324092</v>
      </c>
      <c r="AF106" s="100">
        <v>0.12</v>
      </c>
      <c r="AG106" s="98">
        <v>285.7959416976279</v>
      </c>
      <c r="AH106" s="98">
        <v>314.3755358673907</v>
      </c>
      <c r="AI106" s="100">
        <v>0.0134</v>
      </c>
      <c r="AJ106" s="100">
        <v>0.647059</v>
      </c>
      <c r="AK106" s="100" t="s">
        <v>972</v>
      </c>
      <c r="AL106" s="100">
        <v>0.754149</v>
      </c>
      <c r="AM106" s="100">
        <v>0.579545</v>
      </c>
      <c r="AN106" s="100">
        <v>0.547619</v>
      </c>
      <c r="AO106" s="98">
        <v>1057.4449842812232</v>
      </c>
      <c r="AP106" s="157">
        <v>0.7142000000000001</v>
      </c>
      <c r="AQ106" s="100" t="s">
        <v>972</v>
      </c>
      <c r="AR106" s="100" t="s">
        <v>972</v>
      </c>
      <c r="AS106" s="98">
        <v>428.6939125464418</v>
      </c>
      <c r="AT106" s="98" t="s">
        <v>972</v>
      </c>
      <c r="AU106" s="98" t="s">
        <v>972</v>
      </c>
      <c r="AV106" s="98">
        <v>314.3755358673907</v>
      </c>
      <c r="AW106" s="98">
        <v>342.9551300371535</v>
      </c>
      <c r="AX106" s="98" t="s">
        <v>972</v>
      </c>
      <c r="AY106" s="98">
        <v>257.2163475278651</v>
      </c>
      <c r="AZ106" s="98">
        <v>285.7959416976279</v>
      </c>
      <c r="BA106" s="100" t="s">
        <v>972</v>
      </c>
      <c r="BB106" s="100" t="s">
        <v>972</v>
      </c>
      <c r="BC106" s="100" t="s">
        <v>972</v>
      </c>
      <c r="BD106" s="157">
        <v>0.5028</v>
      </c>
      <c r="BE106" s="157">
        <v>0.9843999999999999</v>
      </c>
      <c r="BF106" s="161">
        <v>238</v>
      </c>
      <c r="BG106" s="161" t="s">
        <v>972</v>
      </c>
      <c r="BH106" s="161">
        <v>964</v>
      </c>
      <c r="BI106" s="161">
        <v>176</v>
      </c>
      <c r="BJ106" s="161">
        <v>84</v>
      </c>
      <c r="BK106" s="97"/>
      <c r="BL106" s="97"/>
      <c r="BM106" s="97"/>
      <c r="BN106" s="97"/>
    </row>
    <row r="107" spans="1:66" ht="12.75">
      <c r="A107" s="79" t="s">
        <v>401</v>
      </c>
      <c r="B107" s="79" t="s">
        <v>111</v>
      </c>
      <c r="C107" s="79" t="s">
        <v>392</v>
      </c>
      <c r="D107" s="99">
        <v>7022</v>
      </c>
      <c r="E107" s="99">
        <v>1108</v>
      </c>
      <c r="F107" s="99" t="s">
        <v>201</v>
      </c>
      <c r="G107" s="99">
        <v>30</v>
      </c>
      <c r="H107" s="99">
        <v>14</v>
      </c>
      <c r="I107" s="99">
        <v>94</v>
      </c>
      <c r="J107" s="99">
        <v>475</v>
      </c>
      <c r="K107" s="99">
        <v>6</v>
      </c>
      <c r="L107" s="99">
        <v>1271</v>
      </c>
      <c r="M107" s="99">
        <v>379</v>
      </c>
      <c r="N107" s="99">
        <v>168</v>
      </c>
      <c r="O107" s="99">
        <v>152</v>
      </c>
      <c r="P107" s="158">
        <v>152</v>
      </c>
      <c r="Q107" s="99">
        <v>15</v>
      </c>
      <c r="R107" s="99">
        <v>23</v>
      </c>
      <c r="S107" s="99">
        <v>31</v>
      </c>
      <c r="T107" s="99">
        <v>35</v>
      </c>
      <c r="U107" s="99" t="s">
        <v>972</v>
      </c>
      <c r="V107" s="99">
        <v>30</v>
      </c>
      <c r="W107" s="99">
        <v>40</v>
      </c>
      <c r="X107" s="99">
        <v>23</v>
      </c>
      <c r="Y107" s="99">
        <v>62</v>
      </c>
      <c r="Z107" s="99">
        <v>16</v>
      </c>
      <c r="AA107" s="99">
        <v>7</v>
      </c>
      <c r="AB107" s="99">
        <v>13</v>
      </c>
      <c r="AC107" s="99">
        <v>11</v>
      </c>
      <c r="AD107" s="98" t="s">
        <v>181</v>
      </c>
      <c r="AE107" s="100">
        <v>0.15778980347479352</v>
      </c>
      <c r="AF107" s="100">
        <v>0.11</v>
      </c>
      <c r="AG107" s="98">
        <v>427.2287097692965</v>
      </c>
      <c r="AH107" s="98">
        <v>199.37339789233837</v>
      </c>
      <c r="AI107" s="100">
        <v>0.0134</v>
      </c>
      <c r="AJ107" s="100">
        <v>0.703704</v>
      </c>
      <c r="AK107" s="100">
        <v>0.666667</v>
      </c>
      <c r="AL107" s="100">
        <v>0.782154</v>
      </c>
      <c r="AM107" s="100">
        <v>0.617264</v>
      </c>
      <c r="AN107" s="100">
        <v>0.573379</v>
      </c>
      <c r="AO107" s="98">
        <v>2164.625462831102</v>
      </c>
      <c r="AP107" s="157">
        <v>1.1468</v>
      </c>
      <c r="AQ107" s="100">
        <v>0.09868421052631579</v>
      </c>
      <c r="AR107" s="100">
        <v>0.6521739130434783</v>
      </c>
      <c r="AS107" s="98">
        <v>441.4696667616064</v>
      </c>
      <c r="AT107" s="98">
        <v>498.4334947308459</v>
      </c>
      <c r="AU107" s="98" t="s">
        <v>972</v>
      </c>
      <c r="AV107" s="98">
        <v>427.2287097692965</v>
      </c>
      <c r="AW107" s="98">
        <v>569.6382796923954</v>
      </c>
      <c r="AX107" s="98">
        <v>327.5420108231273</v>
      </c>
      <c r="AY107" s="98">
        <v>882.9393335232128</v>
      </c>
      <c r="AZ107" s="98">
        <v>227.85531187695813</v>
      </c>
      <c r="BA107" s="100">
        <v>0.22580645161290322</v>
      </c>
      <c r="BB107" s="100">
        <v>0.41935483870967744</v>
      </c>
      <c r="BC107" s="100">
        <v>0.3548387096774194</v>
      </c>
      <c r="BD107" s="157">
        <v>0.9717</v>
      </c>
      <c r="BE107" s="157">
        <v>1.3443</v>
      </c>
      <c r="BF107" s="161">
        <v>675</v>
      </c>
      <c r="BG107" s="161">
        <v>9</v>
      </c>
      <c r="BH107" s="161">
        <v>1625</v>
      </c>
      <c r="BI107" s="161">
        <v>614</v>
      </c>
      <c r="BJ107" s="161">
        <v>293</v>
      </c>
      <c r="BK107" s="97"/>
      <c r="BL107" s="97"/>
      <c r="BM107" s="97"/>
      <c r="BN107" s="97"/>
    </row>
    <row r="108" spans="1:66" ht="12.75">
      <c r="A108" s="79" t="s">
        <v>308</v>
      </c>
      <c r="B108" s="79" t="s">
        <v>98</v>
      </c>
      <c r="C108" s="79" t="s">
        <v>392</v>
      </c>
      <c r="D108" s="99">
        <v>9424</v>
      </c>
      <c r="E108" s="99">
        <v>2016</v>
      </c>
      <c r="F108" s="99" t="s">
        <v>201</v>
      </c>
      <c r="G108" s="99">
        <v>65</v>
      </c>
      <c r="H108" s="99">
        <v>33</v>
      </c>
      <c r="I108" s="99">
        <v>199</v>
      </c>
      <c r="J108" s="99">
        <v>991</v>
      </c>
      <c r="K108" s="99">
        <v>13</v>
      </c>
      <c r="L108" s="99">
        <v>1856</v>
      </c>
      <c r="M108" s="99">
        <v>802</v>
      </c>
      <c r="N108" s="99">
        <v>376</v>
      </c>
      <c r="O108" s="99">
        <v>239</v>
      </c>
      <c r="P108" s="158">
        <v>239</v>
      </c>
      <c r="Q108" s="99">
        <v>38</v>
      </c>
      <c r="R108" s="99">
        <v>66</v>
      </c>
      <c r="S108" s="99">
        <v>28</v>
      </c>
      <c r="T108" s="99">
        <v>48</v>
      </c>
      <c r="U108" s="99">
        <v>8</v>
      </c>
      <c r="V108" s="99">
        <v>36</v>
      </c>
      <c r="W108" s="99">
        <v>80</v>
      </c>
      <c r="X108" s="99">
        <v>10</v>
      </c>
      <c r="Y108" s="99">
        <v>79</v>
      </c>
      <c r="Z108" s="99">
        <v>60</v>
      </c>
      <c r="AA108" s="99">
        <v>10</v>
      </c>
      <c r="AB108" s="99">
        <v>33</v>
      </c>
      <c r="AC108" s="99">
        <v>9</v>
      </c>
      <c r="AD108" s="98" t="s">
        <v>181</v>
      </c>
      <c r="AE108" s="100">
        <v>0.21392190152801357</v>
      </c>
      <c r="AF108" s="100">
        <v>0.1</v>
      </c>
      <c r="AG108" s="98">
        <v>689.7283531409169</v>
      </c>
      <c r="AH108" s="98">
        <v>350.169779286927</v>
      </c>
      <c r="AI108" s="100">
        <v>0.021099999999999997</v>
      </c>
      <c r="AJ108" s="100">
        <v>0.790902</v>
      </c>
      <c r="AK108" s="100">
        <v>0.65</v>
      </c>
      <c r="AL108" s="100">
        <v>0.81475</v>
      </c>
      <c r="AM108" s="100">
        <v>0.671692</v>
      </c>
      <c r="AN108" s="100">
        <v>0.63837</v>
      </c>
      <c r="AO108" s="98">
        <v>2536.0780984719863</v>
      </c>
      <c r="AP108" s="157">
        <v>1.1225</v>
      </c>
      <c r="AQ108" s="100">
        <v>0.1589958158995816</v>
      </c>
      <c r="AR108" s="100">
        <v>0.5757575757575758</v>
      </c>
      <c r="AS108" s="98">
        <v>297.11375212224107</v>
      </c>
      <c r="AT108" s="98">
        <v>509.3378607809847</v>
      </c>
      <c r="AU108" s="98">
        <v>84.88964346349745</v>
      </c>
      <c r="AV108" s="98">
        <v>382.00339558573853</v>
      </c>
      <c r="AW108" s="98">
        <v>848.8964346349745</v>
      </c>
      <c r="AX108" s="98">
        <v>106.11205432937182</v>
      </c>
      <c r="AY108" s="98">
        <v>838.2852292020374</v>
      </c>
      <c r="AZ108" s="98">
        <v>636.6723259762309</v>
      </c>
      <c r="BA108" s="100">
        <v>0.19230769230769232</v>
      </c>
      <c r="BB108" s="100">
        <v>0.6346153846153846</v>
      </c>
      <c r="BC108" s="100">
        <v>0.17307692307692307</v>
      </c>
      <c r="BD108" s="157">
        <v>0.9847</v>
      </c>
      <c r="BE108" s="157">
        <v>1.2742</v>
      </c>
      <c r="BF108" s="161">
        <v>1253</v>
      </c>
      <c r="BG108" s="161">
        <v>20</v>
      </c>
      <c r="BH108" s="161">
        <v>2278</v>
      </c>
      <c r="BI108" s="161">
        <v>1194</v>
      </c>
      <c r="BJ108" s="161">
        <v>589</v>
      </c>
      <c r="BK108" s="97"/>
      <c r="BL108" s="97"/>
      <c r="BM108" s="97"/>
      <c r="BN108" s="97"/>
    </row>
    <row r="109" spans="1:66" ht="12.75">
      <c r="A109" s="79" t="s">
        <v>330</v>
      </c>
      <c r="B109" s="79" t="s">
        <v>124</v>
      </c>
      <c r="C109" s="79" t="s">
        <v>392</v>
      </c>
      <c r="D109" s="99">
        <v>14688</v>
      </c>
      <c r="E109" s="99">
        <v>2935</v>
      </c>
      <c r="F109" s="99" t="s">
        <v>203</v>
      </c>
      <c r="G109" s="99">
        <v>83</v>
      </c>
      <c r="H109" s="99">
        <v>35</v>
      </c>
      <c r="I109" s="99">
        <v>323</v>
      </c>
      <c r="J109" s="99">
        <v>1675</v>
      </c>
      <c r="K109" s="99">
        <v>1557</v>
      </c>
      <c r="L109" s="99">
        <v>2967</v>
      </c>
      <c r="M109" s="99">
        <v>1339</v>
      </c>
      <c r="N109" s="99">
        <v>669</v>
      </c>
      <c r="O109" s="99">
        <v>514</v>
      </c>
      <c r="P109" s="158">
        <v>514</v>
      </c>
      <c r="Q109" s="99">
        <v>46</v>
      </c>
      <c r="R109" s="99">
        <v>100</v>
      </c>
      <c r="S109" s="99">
        <v>75</v>
      </c>
      <c r="T109" s="99">
        <v>74</v>
      </c>
      <c r="U109" s="99">
        <v>15</v>
      </c>
      <c r="V109" s="99">
        <v>97</v>
      </c>
      <c r="W109" s="99">
        <v>149</v>
      </c>
      <c r="X109" s="99">
        <v>19</v>
      </c>
      <c r="Y109" s="99">
        <v>109</v>
      </c>
      <c r="Z109" s="99">
        <v>76</v>
      </c>
      <c r="AA109" s="99">
        <v>19</v>
      </c>
      <c r="AB109" s="99">
        <v>38</v>
      </c>
      <c r="AC109" s="99">
        <v>18</v>
      </c>
      <c r="AD109" s="98" t="s">
        <v>181</v>
      </c>
      <c r="AE109" s="100">
        <v>0.19982298474945534</v>
      </c>
      <c r="AF109" s="100">
        <v>0.08</v>
      </c>
      <c r="AG109" s="98">
        <v>565.0871459694989</v>
      </c>
      <c r="AH109" s="98">
        <v>238.28976034858388</v>
      </c>
      <c r="AI109" s="100">
        <v>0.022000000000000002</v>
      </c>
      <c r="AJ109" s="100">
        <v>0.829619</v>
      </c>
      <c r="AK109" s="100">
        <v>0.794388</v>
      </c>
      <c r="AL109" s="100">
        <v>0.822111</v>
      </c>
      <c r="AM109" s="100">
        <v>0.713753</v>
      </c>
      <c r="AN109" s="100">
        <v>0.701258</v>
      </c>
      <c r="AO109" s="98">
        <v>3499.455337690632</v>
      </c>
      <c r="AP109" s="157">
        <v>1.5928</v>
      </c>
      <c r="AQ109" s="100">
        <v>0.08949416342412451</v>
      </c>
      <c r="AR109" s="100">
        <v>0.46</v>
      </c>
      <c r="AS109" s="98">
        <v>510.62091503267976</v>
      </c>
      <c r="AT109" s="98">
        <v>503.8126361655773</v>
      </c>
      <c r="AU109" s="98">
        <v>102.12418300653594</v>
      </c>
      <c r="AV109" s="98">
        <v>660.4030501089325</v>
      </c>
      <c r="AW109" s="98">
        <v>1014.4335511982571</v>
      </c>
      <c r="AX109" s="98">
        <v>129.35729847494554</v>
      </c>
      <c r="AY109" s="98">
        <v>742.1023965141612</v>
      </c>
      <c r="AZ109" s="98">
        <v>517.4291938997821</v>
      </c>
      <c r="BA109" s="100">
        <v>0.25333333333333335</v>
      </c>
      <c r="BB109" s="100">
        <v>0.5066666666666667</v>
      </c>
      <c r="BC109" s="100">
        <v>0.24</v>
      </c>
      <c r="BD109" s="157">
        <v>1.4581</v>
      </c>
      <c r="BE109" s="157">
        <v>1.7366</v>
      </c>
      <c r="BF109" s="161">
        <v>2019</v>
      </c>
      <c r="BG109" s="161">
        <v>1960</v>
      </c>
      <c r="BH109" s="161">
        <v>3609</v>
      </c>
      <c r="BI109" s="161">
        <v>1876</v>
      </c>
      <c r="BJ109" s="161">
        <v>954</v>
      </c>
      <c r="BK109" s="97"/>
      <c r="BL109" s="97"/>
      <c r="BM109" s="97"/>
      <c r="BN109" s="97"/>
    </row>
    <row r="110" spans="1:66" ht="12.75">
      <c r="A110" s="79" t="s">
        <v>402</v>
      </c>
      <c r="B110" s="79" t="s">
        <v>117</v>
      </c>
      <c r="C110" s="79" t="s">
        <v>392</v>
      </c>
      <c r="D110" s="99">
        <v>7644</v>
      </c>
      <c r="E110" s="99">
        <v>1196</v>
      </c>
      <c r="F110" s="99" t="s">
        <v>202</v>
      </c>
      <c r="G110" s="99">
        <v>30</v>
      </c>
      <c r="H110" s="99">
        <v>28</v>
      </c>
      <c r="I110" s="99">
        <v>149</v>
      </c>
      <c r="J110" s="99">
        <v>737</v>
      </c>
      <c r="K110" s="99" t="s">
        <v>972</v>
      </c>
      <c r="L110" s="99">
        <v>1567</v>
      </c>
      <c r="M110" s="99">
        <v>446</v>
      </c>
      <c r="N110" s="99">
        <v>204</v>
      </c>
      <c r="O110" s="99">
        <v>94</v>
      </c>
      <c r="P110" s="158">
        <v>94</v>
      </c>
      <c r="Q110" s="99">
        <v>21</v>
      </c>
      <c r="R110" s="99">
        <v>32</v>
      </c>
      <c r="S110" s="99">
        <v>23</v>
      </c>
      <c r="T110" s="99">
        <v>17</v>
      </c>
      <c r="U110" s="99">
        <v>6</v>
      </c>
      <c r="V110" s="99">
        <v>7</v>
      </c>
      <c r="W110" s="99">
        <v>36</v>
      </c>
      <c r="X110" s="99">
        <v>24</v>
      </c>
      <c r="Y110" s="99">
        <v>73</v>
      </c>
      <c r="Z110" s="99">
        <v>58</v>
      </c>
      <c r="AA110" s="99" t="s">
        <v>972</v>
      </c>
      <c r="AB110" s="99" t="s">
        <v>972</v>
      </c>
      <c r="AC110" s="99">
        <v>15</v>
      </c>
      <c r="AD110" s="98" t="s">
        <v>181</v>
      </c>
      <c r="AE110" s="100">
        <v>0.1564625850340136</v>
      </c>
      <c r="AF110" s="100">
        <v>0.12</v>
      </c>
      <c r="AG110" s="98">
        <v>392.4646781789639</v>
      </c>
      <c r="AH110" s="98">
        <v>366.3003663003663</v>
      </c>
      <c r="AI110" s="100">
        <v>0.0195</v>
      </c>
      <c r="AJ110" s="100">
        <v>0.804585</v>
      </c>
      <c r="AK110" s="100" t="s">
        <v>972</v>
      </c>
      <c r="AL110" s="100">
        <v>0.811917</v>
      </c>
      <c r="AM110" s="100">
        <v>0.610123</v>
      </c>
      <c r="AN110" s="100">
        <v>0.589595</v>
      </c>
      <c r="AO110" s="98">
        <v>1229.7226582940868</v>
      </c>
      <c r="AP110" s="157">
        <v>0.6158</v>
      </c>
      <c r="AQ110" s="100">
        <v>0.22340425531914893</v>
      </c>
      <c r="AR110" s="100">
        <v>0.65625</v>
      </c>
      <c r="AS110" s="98">
        <v>300.8895866038723</v>
      </c>
      <c r="AT110" s="98">
        <v>222.39665096807954</v>
      </c>
      <c r="AU110" s="98">
        <v>78.49293563579278</v>
      </c>
      <c r="AV110" s="98">
        <v>91.57509157509158</v>
      </c>
      <c r="AW110" s="98">
        <v>470.95761381475666</v>
      </c>
      <c r="AX110" s="98">
        <v>313.9717425431711</v>
      </c>
      <c r="AY110" s="98">
        <v>954.9973835688121</v>
      </c>
      <c r="AZ110" s="98">
        <v>758.7650444793302</v>
      </c>
      <c r="BA110" s="100" t="s">
        <v>972</v>
      </c>
      <c r="BB110" s="100" t="s">
        <v>972</v>
      </c>
      <c r="BC110" s="100">
        <v>0.4411764705882353</v>
      </c>
      <c r="BD110" s="157">
        <v>0.4976</v>
      </c>
      <c r="BE110" s="157">
        <v>0.7535</v>
      </c>
      <c r="BF110" s="161">
        <v>916</v>
      </c>
      <c r="BG110" s="161" t="s">
        <v>972</v>
      </c>
      <c r="BH110" s="161">
        <v>1930</v>
      </c>
      <c r="BI110" s="161">
        <v>731</v>
      </c>
      <c r="BJ110" s="161">
        <v>346</v>
      </c>
      <c r="BK110" s="97"/>
      <c r="BL110" s="97"/>
      <c r="BM110" s="97"/>
      <c r="BN110" s="97"/>
    </row>
    <row r="111" spans="1:66" ht="12.75">
      <c r="A111" s="79" t="s">
        <v>409</v>
      </c>
      <c r="B111" s="79" t="s">
        <v>138</v>
      </c>
      <c r="C111" s="79" t="s">
        <v>392</v>
      </c>
      <c r="D111" s="99">
        <v>4088</v>
      </c>
      <c r="E111" s="99">
        <v>782</v>
      </c>
      <c r="F111" s="99" t="s">
        <v>199</v>
      </c>
      <c r="G111" s="99">
        <v>28</v>
      </c>
      <c r="H111" s="99">
        <v>10</v>
      </c>
      <c r="I111" s="99">
        <v>85</v>
      </c>
      <c r="J111" s="99">
        <v>340</v>
      </c>
      <c r="K111" s="99">
        <v>319</v>
      </c>
      <c r="L111" s="99">
        <v>717</v>
      </c>
      <c r="M111" s="99">
        <v>211</v>
      </c>
      <c r="N111" s="99">
        <v>101</v>
      </c>
      <c r="O111" s="99">
        <v>96</v>
      </c>
      <c r="P111" s="158">
        <v>96</v>
      </c>
      <c r="Q111" s="99">
        <v>11</v>
      </c>
      <c r="R111" s="99">
        <v>30</v>
      </c>
      <c r="S111" s="99">
        <v>19</v>
      </c>
      <c r="T111" s="99">
        <v>14</v>
      </c>
      <c r="U111" s="99" t="s">
        <v>972</v>
      </c>
      <c r="V111" s="99">
        <v>23</v>
      </c>
      <c r="W111" s="99">
        <v>26</v>
      </c>
      <c r="X111" s="99">
        <v>15</v>
      </c>
      <c r="Y111" s="99">
        <v>46</v>
      </c>
      <c r="Z111" s="99">
        <v>39</v>
      </c>
      <c r="AA111" s="99" t="s">
        <v>972</v>
      </c>
      <c r="AB111" s="99" t="s">
        <v>972</v>
      </c>
      <c r="AC111" s="99" t="s">
        <v>972</v>
      </c>
      <c r="AD111" s="98" t="s">
        <v>181</v>
      </c>
      <c r="AE111" s="100">
        <v>0.19129158512720157</v>
      </c>
      <c r="AF111" s="100">
        <v>0.16</v>
      </c>
      <c r="AG111" s="98">
        <v>684.931506849315</v>
      </c>
      <c r="AH111" s="98">
        <v>244.61839530332682</v>
      </c>
      <c r="AI111" s="100">
        <v>0.0208</v>
      </c>
      <c r="AJ111" s="100">
        <v>0.737527</v>
      </c>
      <c r="AK111" s="100">
        <v>0.712054</v>
      </c>
      <c r="AL111" s="100">
        <v>0.79402</v>
      </c>
      <c r="AM111" s="100">
        <v>0.510896</v>
      </c>
      <c r="AN111" s="100">
        <v>0.463303</v>
      </c>
      <c r="AO111" s="98">
        <v>2348.3365949119375</v>
      </c>
      <c r="AP111" s="157">
        <v>1.1401999999999999</v>
      </c>
      <c r="AQ111" s="100">
        <v>0.11458333333333333</v>
      </c>
      <c r="AR111" s="100">
        <v>0.36666666666666664</v>
      </c>
      <c r="AS111" s="98">
        <v>464.7749510763209</v>
      </c>
      <c r="AT111" s="98">
        <v>342.4657534246575</v>
      </c>
      <c r="AU111" s="98" t="s">
        <v>972</v>
      </c>
      <c r="AV111" s="98">
        <v>562.6223091976517</v>
      </c>
      <c r="AW111" s="98">
        <v>636.0078277886497</v>
      </c>
      <c r="AX111" s="98">
        <v>366.9275929549902</v>
      </c>
      <c r="AY111" s="98">
        <v>1125.2446183953034</v>
      </c>
      <c r="AZ111" s="98">
        <v>954.0117416829746</v>
      </c>
      <c r="BA111" s="100" t="s">
        <v>972</v>
      </c>
      <c r="BB111" s="100" t="s">
        <v>972</v>
      </c>
      <c r="BC111" s="100" t="s">
        <v>972</v>
      </c>
      <c r="BD111" s="157">
        <v>0.9236</v>
      </c>
      <c r="BE111" s="157">
        <v>1.3924</v>
      </c>
      <c r="BF111" s="161">
        <v>461</v>
      </c>
      <c r="BG111" s="161">
        <v>448</v>
      </c>
      <c r="BH111" s="161">
        <v>903</v>
      </c>
      <c r="BI111" s="161">
        <v>413</v>
      </c>
      <c r="BJ111" s="161">
        <v>218</v>
      </c>
      <c r="BK111" s="97"/>
      <c r="BL111" s="97"/>
      <c r="BM111" s="97"/>
      <c r="BN111" s="97"/>
    </row>
    <row r="112" spans="1:66" ht="12.75">
      <c r="A112" s="79" t="s">
        <v>407</v>
      </c>
      <c r="B112" s="79" t="s">
        <v>133</v>
      </c>
      <c r="C112" s="79" t="s">
        <v>392</v>
      </c>
      <c r="D112" s="99">
        <v>8601</v>
      </c>
      <c r="E112" s="99">
        <v>1849</v>
      </c>
      <c r="F112" s="99" t="s">
        <v>199</v>
      </c>
      <c r="G112" s="99">
        <v>46</v>
      </c>
      <c r="H112" s="99">
        <v>29</v>
      </c>
      <c r="I112" s="99">
        <v>160</v>
      </c>
      <c r="J112" s="99">
        <v>1006</v>
      </c>
      <c r="K112" s="99">
        <v>966</v>
      </c>
      <c r="L112" s="99">
        <v>1533</v>
      </c>
      <c r="M112" s="99">
        <v>740</v>
      </c>
      <c r="N112" s="99">
        <v>362</v>
      </c>
      <c r="O112" s="99">
        <v>164</v>
      </c>
      <c r="P112" s="158">
        <v>164</v>
      </c>
      <c r="Q112" s="99">
        <v>22</v>
      </c>
      <c r="R112" s="99">
        <v>49</v>
      </c>
      <c r="S112" s="99">
        <v>35</v>
      </c>
      <c r="T112" s="99">
        <v>29</v>
      </c>
      <c r="U112" s="99">
        <v>7</v>
      </c>
      <c r="V112" s="99">
        <v>21</v>
      </c>
      <c r="W112" s="99">
        <v>37</v>
      </c>
      <c r="X112" s="99">
        <v>58</v>
      </c>
      <c r="Y112" s="99">
        <v>90</v>
      </c>
      <c r="Z112" s="99">
        <v>68</v>
      </c>
      <c r="AA112" s="99">
        <v>12</v>
      </c>
      <c r="AB112" s="99">
        <v>24</v>
      </c>
      <c r="AC112" s="99">
        <v>11</v>
      </c>
      <c r="AD112" s="98" t="s">
        <v>181</v>
      </c>
      <c r="AE112" s="100">
        <v>0.21497500290663876</v>
      </c>
      <c r="AF112" s="100">
        <v>0.16</v>
      </c>
      <c r="AG112" s="98">
        <v>534.8215323799558</v>
      </c>
      <c r="AH112" s="98">
        <v>337.17009650040694</v>
      </c>
      <c r="AI112" s="100">
        <v>0.018600000000000002</v>
      </c>
      <c r="AJ112" s="100">
        <v>0.81129</v>
      </c>
      <c r="AK112" s="100">
        <v>0.802326</v>
      </c>
      <c r="AL112" s="100">
        <v>0.759287</v>
      </c>
      <c r="AM112" s="100">
        <v>0.601137</v>
      </c>
      <c r="AN112" s="100">
        <v>0.599338</v>
      </c>
      <c r="AO112" s="98">
        <v>1906.75502848506</v>
      </c>
      <c r="AP112" s="157">
        <v>0.8315</v>
      </c>
      <c r="AQ112" s="100">
        <v>0.13414634146341464</v>
      </c>
      <c r="AR112" s="100">
        <v>0.4489795918367347</v>
      </c>
      <c r="AS112" s="98">
        <v>406.92942681083593</v>
      </c>
      <c r="AT112" s="98">
        <v>337.17009650040694</v>
      </c>
      <c r="AU112" s="98">
        <v>81.38588536216719</v>
      </c>
      <c r="AV112" s="98">
        <v>244.15765608650156</v>
      </c>
      <c r="AW112" s="98">
        <v>430.18253691431227</v>
      </c>
      <c r="AX112" s="98">
        <v>674.3401930008139</v>
      </c>
      <c r="AY112" s="98">
        <v>1046.3899546564353</v>
      </c>
      <c r="AZ112" s="98">
        <v>790.6057435181956</v>
      </c>
      <c r="BA112" s="100">
        <v>0.2553191489361702</v>
      </c>
      <c r="BB112" s="100">
        <v>0.5106382978723404</v>
      </c>
      <c r="BC112" s="100">
        <v>0.23404255319148937</v>
      </c>
      <c r="BD112" s="157">
        <v>0.7091</v>
      </c>
      <c r="BE112" s="157">
        <v>0.9690000000000001</v>
      </c>
      <c r="BF112" s="161">
        <v>1240</v>
      </c>
      <c r="BG112" s="161">
        <v>1204</v>
      </c>
      <c r="BH112" s="161">
        <v>2019</v>
      </c>
      <c r="BI112" s="161">
        <v>1231</v>
      </c>
      <c r="BJ112" s="161">
        <v>604</v>
      </c>
      <c r="BK112" s="97"/>
      <c r="BL112" s="97"/>
      <c r="BM112" s="97"/>
      <c r="BN112" s="97"/>
    </row>
    <row r="113" spans="1:66" ht="12.75">
      <c r="A113" s="79" t="s">
        <v>292</v>
      </c>
      <c r="B113" s="79" t="s">
        <v>79</v>
      </c>
      <c r="C113" s="79" t="s">
        <v>392</v>
      </c>
      <c r="D113" s="99">
        <v>7052</v>
      </c>
      <c r="E113" s="99">
        <v>1767</v>
      </c>
      <c r="F113" s="99" t="s">
        <v>201</v>
      </c>
      <c r="G113" s="99">
        <v>44</v>
      </c>
      <c r="H113" s="99">
        <v>23</v>
      </c>
      <c r="I113" s="99">
        <v>149</v>
      </c>
      <c r="J113" s="99">
        <v>707</v>
      </c>
      <c r="K113" s="99">
        <v>34</v>
      </c>
      <c r="L113" s="99">
        <v>1309</v>
      </c>
      <c r="M113" s="99">
        <v>635</v>
      </c>
      <c r="N113" s="99">
        <v>293</v>
      </c>
      <c r="O113" s="99">
        <v>221</v>
      </c>
      <c r="P113" s="158">
        <v>221</v>
      </c>
      <c r="Q113" s="99">
        <v>22</v>
      </c>
      <c r="R113" s="99">
        <v>38</v>
      </c>
      <c r="S113" s="99">
        <v>29</v>
      </c>
      <c r="T113" s="99">
        <v>52</v>
      </c>
      <c r="U113" s="99" t="s">
        <v>972</v>
      </c>
      <c r="V113" s="99">
        <v>73</v>
      </c>
      <c r="W113" s="99">
        <v>73</v>
      </c>
      <c r="X113" s="99">
        <v>30</v>
      </c>
      <c r="Y113" s="99">
        <v>87</v>
      </c>
      <c r="Z113" s="99">
        <v>51</v>
      </c>
      <c r="AA113" s="99">
        <v>13</v>
      </c>
      <c r="AB113" s="99">
        <v>24</v>
      </c>
      <c r="AC113" s="99">
        <v>8</v>
      </c>
      <c r="AD113" s="98" t="s">
        <v>181</v>
      </c>
      <c r="AE113" s="100">
        <v>0.2505672149744753</v>
      </c>
      <c r="AF113" s="100">
        <v>0.09</v>
      </c>
      <c r="AG113" s="98">
        <v>623.9364719228588</v>
      </c>
      <c r="AH113" s="98">
        <v>326.14861032331254</v>
      </c>
      <c r="AI113" s="100">
        <v>0.021099999999999997</v>
      </c>
      <c r="AJ113" s="100">
        <v>0.684414</v>
      </c>
      <c r="AK113" s="100">
        <v>0.73913</v>
      </c>
      <c r="AL113" s="100">
        <v>0.765945</v>
      </c>
      <c r="AM113" s="100">
        <v>0.642063</v>
      </c>
      <c r="AN113" s="100">
        <v>0.611691</v>
      </c>
      <c r="AO113" s="98">
        <v>3133.862733976177</v>
      </c>
      <c r="AP113" s="157">
        <v>1.2802</v>
      </c>
      <c r="AQ113" s="100">
        <v>0.09954751131221719</v>
      </c>
      <c r="AR113" s="100">
        <v>0.5789473684210527</v>
      </c>
      <c r="AS113" s="98">
        <v>411.23085649461143</v>
      </c>
      <c r="AT113" s="98">
        <v>737.379466817924</v>
      </c>
      <c r="AU113" s="98" t="s">
        <v>972</v>
      </c>
      <c r="AV113" s="98">
        <v>1035.1673284174701</v>
      </c>
      <c r="AW113" s="98">
        <v>1035.1673284174701</v>
      </c>
      <c r="AX113" s="98">
        <v>425.4112308564946</v>
      </c>
      <c r="AY113" s="98">
        <v>1233.6925694838344</v>
      </c>
      <c r="AZ113" s="98">
        <v>723.1990924560408</v>
      </c>
      <c r="BA113" s="100">
        <v>0.28888888888888886</v>
      </c>
      <c r="BB113" s="100">
        <v>0.5333333333333333</v>
      </c>
      <c r="BC113" s="100">
        <v>0.17777777777777778</v>
      </c>
      <c r="BD113" s="157">
        <v>1.117</v>
      </c>
      <c r="BE113" s="157">
        <v>1.4606000000000001</v>
      </c>
      <c r="BF113" s="161">
        <v>1033</v>
      </c>
      <c r="BG113" s="161">
        <v>46</v>
      </c>
      <c r="BH113" s="161">
        <v>1709</v>
      </c>
      <c r="BI113" s="161">
        <v>989</v>
      </c>
      <c r="BJ113" s="161">
        <v>479</v>
      </c>
      <c r="BK113" s="97"/>
      <c r="BL113" s="97"/>
      <c r="BM113" s="97"/>
      <c r="BN113" s="97"/>
    </row>
    <row r="114" spans="1:66" ht="12.75">
      <c r="A114" s="79" t="s">
        <v>289</v>
      </c>
      <c r="B114" s="79" t="s">
        <v>75</v>
      </c>
      <c r="C114" s="79" t="s">
        <v>392</v>
      </c>
      <c r="D114" s="99">
        <v>5269</v>
      </c>
      <c r="E114" s="99">
        <v>1206</v>
      </c>
      <c r="F114" s="99" t="s">
        <v>201</v>
      </c>
      <c r="G114" s="99">
        <v>31</v>
      </c>
      <c r="H114" s="99">
        <v>23</v>
      </c>
      <c r="I114" s="99">
        <v>134</v>
      </c>
      <c r="J114" s="99">
        <v>687</v>
      </c>
      <c r="K114" s="99">
        <v>659</v>
      </c>
      <c r="L114" s="99">
        <v>1036</v>
      </c>
      <c r="M114" s="99">
        <v>502</v>
      </c>
      <c r="N114" s="99">
        <v>231</v>
      </c>
      <c r="O114" s="99">
        <v>145</v>
      </c>
      <c r="P114" s="158">
        <v>145</v>
      </c>
      <c r="Q114" s="99">
        <v>23</v>
      </c>
      <c r="R114" s="99">
        <v>46</v>
      </c>
      <c r="S114" s="99">
        <v>20</v>
      </c>
      <c r="T114" s="99">
        <v>26</v>
      </c>
      <c r="U114" s="99">
        <v>7</v>
      </c>
      <c r="V114" s="99">
        <v>14</v>
      </c>
      <c r="W114" s="99">
        <v>27</v>
      </c>
      <c r="X114" s="99">
        <v>39</v>
      </c>
      <c r="Y114" s="99">
        <v>52</v>
      </c>
      <c r="Z114" s="99">
        <v>38</v>
      </c>
      <c r="AA114" s="99">
        <v>7</v>
      </c>
      <c r="AB114" s="99">
        <v>19</v>
      </c>
      <c r="AC114" s="99">
        <v>6</v>
      </c>
      <c r="AD114" s="98" t="s">
        <v>181</v>
      </c>
      <c r="AE114" s="100">
        <v>0.2288859366103625</v>
      </c>
      <c r="AF114" s="100">
        <v>0.11</v>
      </c>
      <c r="AG114" s="98">
        <v>588.3469349022585</v>
      </c>
      <c r="AH114" s="98">
        <v>436.5154678307079</v>
      </c>
      <c r="AI114" s="100">
        <v>0.0254</v>
      </c>
      <c r="AJ114" s="100">
        <v>0.82177</v>
      </c>
      <c r="AK114" s="100">
        <v>0.816605</v>
      </c>
      <c r="AL114" s="100">
        <v>0.838866</v>
      </c>
      <c r="AM114" s="100">
        <v>0.610706</v>
      </c>
      <c r="AN114" s="100">
        <v>0.581864</v>
      </c>
      <c r="AO114" s="98">
        <v>2751.9453406718544</v>
      </c>
      <c r="AP114" s="157">
        <v>1.147</v>
      </c>
      <c r="AQ114" s="100">
        <v>0.15862068965517243</v>
      </c>
      <c r="AR114" s="100">
        <v>0.5</v>
      </c>
      <c r="AS114" s="98">
        <v>379.57866767887646</v>
      </c>
      <c r="AT114" s="98">
        <v>493.45226798253935</v>
      </c>
      <c r="AU114" s="98">
        <v>132.85253368760675</v>
      </c>
      <c r="AV114" s="98">
        <v>265.7050673752135</v>
      </c>
      <c r="AW114" s="98">
        <v>512.4312013664832</v>
      </c>
      <c r="AX114" s="98">
        <v>740.1784019738091</v>
      </c>
      <c r="AY114" s="98">
        <v>986.9045359650787</v>
      </c>
      <c r="AZ114" s="98">
        <v>721.1994685898652</v>
      </c>
      <c r="BA114" s="100">
        <v>0.21875</v>
      </c>
      <c r="BB114" s="100">
        <v>0.59375</v>
      </c>
      <c r="BC114" s="100">
        <v>0.1875</v>
      </c>
      <c r="BD114" s="157">
        <v>0.9679000000000001</v>
      </c>
      <c r="BE114" s="157">
        <v>1.3496000000000001</v>
      </c>
      <c r="BF114" s="161">
        <v>836</v>
      </c>
      <c r="BG114" s="161">
        <v>807</v>
      </c>
      <c r="BH114" s="161">
        <v>1235</v>
      </c>
      <c r="BI114" s="161">
        <v>822</v>
      </c>
      <c r="BJ114" s="161">
        <v>397</v>
      </c>
      <c r="BK114" s="97"/>
      <c r="BL114" s="97"/>
      <c r="BM114" s="97"/>
      <c r="BN114" s="97"/>
    </row>
    <row r="115" spans="1:66" ht="12.75">
      <c r="A115" s="79" t="s">
        <v>342</v>
      </c>
      <c r="B115" s="79" t="s">
        <v>141</v>
      </c>
      <c r="C115" s="79" t="s">
        <v>392</v>
      </c>
      <c r="D115" s="99">
        <v>2391</v>
      </c>
      <c r="E115" s="99">
        <v>361</v>
      </c>
      <c r="F115" s="99" t="s">
        <v>202</v>
      </c>
      <c r="G115" s="99">
        <v>11</v>
      </c>
      <c r="H115" s="99">
        <v>7</v>
      </c>
      <c r="I115" s="99">
        <v>47</v>
      </c>
      <c r="J115" s="99">
        <v>177</v>
      </c>
      <c r="K115" s="99" t="s">
        <v>972</v>
      </c>
      <c r="L115" s="99">
        <v>439</v>
      </c>
      <c r="M115" s="99">
        <v>121</v>
      </c>
      <c r="N115" s="99">
        <v>48</v>
      </c>
      <c r="O115" s="99">
        <v>39</v>
      </c>
      <c r="P115" s="158">
        <v>39</v>
      </c>
      <c r="Q115" s="99">
        <v>11</v>
      </c>
      <c r="R115" s="99">
        <v>20</v>
      </c>
      <c r="S115" s="99">
        <v>6</v>
      </c>
      <c r="T115" s="99" t="s">
        <v>972</v>
      </c>
      <c r="U115" s="99" t="s">
        <v>972</v>
      </c>
      <c r="V115" s="99">
        <v>7</v>
      </c>
      <c r="W115" s="99">
        <v>12</v>
      </c>
      <c r="X115" s="99" t="s">
        <v>972</v>
      </c>
      <c r="Y115" s="99">
        <v>11</v>
      </c>
      <c r="Z115" s="99">
        <v>12</v>
      </c>
      <c r="AA115" s="99" t="s">
        <v>972</v>
      </c>
      <c r="AB115" s="99" t="s">
        <v>972</v>
      </c>
      <c r="AC115" s="99" t="s">
        <v>972</v>
      </c>
      <c r="AD115" s="98" t="s">
        <v>181</v>
      </c>
      <c r="AE115" s="100">
        <v>0.15098285236302803</v>
      </c>
      <c r="AF115" s="100">
        <v>0.15</v>
      </c>
      <c r="AG115" s="98">
        <v>460.0585529067336</v>
      </c>
      <c r="AH115" s="98">
        <v>292.7645336679214</v>
      </c>
      <c r="AI115" s="100">
        <v>0.0197</v>
      </c>
      <c r="AJ115" s="100">
        <v>0.708</v>
      </c>
      <c r="AK115" s="100" t="s">
        <v>972</v>
      </c>
      <c r="AL115" s="100">
        <v>0.744068</v>
      </c>
      <c r="AM115" s="100">
        <v>0.521552</v>
      </c>
      <c r="AN115" s="100">
        <v>0.428571</v>
      </c>
      <c r="AO115" s="98">
        <v>1631.116687578419</v>
      </c>
      <c r="AP115" s="157">
        <v>0.8506</v>
      </c>
      <c r="AQ115" s="100">
        <v>0.28205128205128205</v>
      </c>
      <c r="AR115" s="100">
        <v>0.55</v>
      </c>
      <c r="AS115" s="98">
        <v>250.94102885821832</v>
      </c>
      <c r="AT115" s="98" t="s">
        <v>972</v>
      </c>
      <c r="AU115" s="98" t="s">
        <v>972</v>
      </c>
      <c r="AV115" s="98">
        <v>292.7645336679214</v>
      </c>
      <c r="AW115" s="98">
        <v>501.88205771643663</v>
      </c>
      <c r="AX115" s="98" t="s">
        <v>972</v>
      </c>
      <c r="AY115" s="98">
        <v>460.0585529067336</v>
      </c>
      <c r="AZ115" s="98">
        <v>501.88205771643663</v>
      </c>
      <c r="BA115" s="100" t="s">
        <v>972</v>
      </c>
      <c r="BB115" s="100" t="s">
        <v>972</v>
      </c>
      <c r="BC115" s="100" t="s">
        <v>972</v>
      </c>
      <c r="BD115" s="157">
        <v>0.6049</v>
      </c>
      <c r="BE115" s="157">
        <v>1.1628</v>
      </c>
      <c r="BF115" s="161">
        <v>250</v>
      </c>
      <c r="BG115" s="161" t="s">
        <v>972</v>
      </c>
      <c r="BH115" s="161">
        <v>590</v>
      </c>
      <c r="BI115" s="161">
        <v>232</v>
      </c>
      <c r="BJ115" s="161">
        <v>112</v>
      </c>
      <c r="BK115" s="97"/>
      <c r="BL115" s="97"/>
      <c r="BM115" s="97"/>
      <c r="BN115" s="97"/>
    </row>
    <row r="116" spans="1:66" ht="12.75">
      <c r="A116" s="79" t="s">
        <v>303</v>
      </c>
      <c r="B116" s="79" t="s">
        <v>93</v>
      </c>
      <c r="C116" s="79" t="s">
        <v>392</v>
      </c>
      <c r="D116" s="99">
        <v>6500</v>
      </c>
      <c r="E116" s="99">
        <v>2399</v>
      </c>
      <c r="F116" s="99" t="s">
        <v>201</v>
      </c>
      <c r="G116" s="99">
        <v>52</v>
      </c>
      <c r="H116" s="99">
        <v>35</v>
      </c>
      <c r="I116" s="99">
        <v>168</v>
      </c>
      <c r="J116" s="99">
        <v>921</v>
      </c>
      <c r="K116" s="99">
        <v>901</v>
      </c>
      <c r="L116" s="99">
        <v>1038</v>
      </c>
      <c r="M116" s="99">
        <v>793</v>
      </c>
      <c r="N116" s="99">
        <v>394</v>
      </c>
      <c r="O116" s="99">
        <v>183</v>
      </c>
      <c r="P116" s="158">
        <v>183</v>
      </c>
      <c r="Q116" s="99">
        <v>28</v>
      </c>
      <c r="R116" s="99">
        <v>60</v>
      </c>
      <c r="S116" s="99">
        <v>32</v>
      </c>
      <c r="T116" s="99">
        <v>45</v>
      </c>
      <c r="U116" s="99">
        <v>11</v>
      </c>
      <c r="V116" s="99">
        <v>18</v>
      </c>
      <c r="W116" s="99">
        <v>62</v>
      </c>
      <c r="X116" s="99">
        <v>27</v>
      </c>
      <c r="Y116" s="99">
        <v>103</v>
      </c>
      <c r="Z116" s="99">
        <v>80</v>
      </c>
      <c r="AA116" s="99">
        <v>17</v>
      </c>
      <c r="AB116" s="99">
        <v>30</v>
      </c>
      <c r="AC116" s="99">
        <v>15</v>
      </c>
      <c r="AD116" s="98" t="s">
        <v>181</v>
      </c>
      <c r="AE116" s="100">
        <v>0.3690769230769231</v>
      </c>
      <c r="AF116" s="100">
        <v>0.09</v>
      </c>
      <c r="AG116" s="98">
        <v>800</v>
      </c>
      <c r="AH116" s="98">
        <v>538.4615384615385</v>
      </c>
      <c r="AI116" s="100">
        <v>0.0258</v>
      </c>
      <c r="AJ116" s="100">
        <v>0.807895</v>
      </c>
      <c r="AK116" s="100">
        <v>0.801601</v>
      </c>
      <c r="AL116" s="100">
        <v>0.776946</v>
      </c>
      <c r="AM116" s="100">
        <v>0.630867</v>
      </c>
      <c r="AN116" s="100">
        <v>0.616588</v>
      </c>
      <c r="AO116" s="98">
        <v>2815.3846153846152</v>
      </c>
      <c r="AP116" s="157">
        <v>0.9284</v>
      </c>
      <c r="AQ116" s="100">
        <v>0.15300546448087432</v>
      </c>
      <c r="AR116" s="100">
        <v>0.4666666666666667</v>
      </c>
      <c r="AS116" s="98">
        <v>492.3076923076923</v>
      </c>
      <c r="AT116" s="98">
        <v>692.3076923076923</v>
      </c>
      <c r="AU116" s="98">
        <v>169.23076923076923</v>
      </c>
      <c r="AV116" s="98">
        <v>276.9230769230769</v>
      </c>
      <c r="AW116" s="98">
        <v>953.8461538461538</v>
      </c>
      <c r="AX116" s="98">
        <v>415.38461538461536</v>
      </c>
      <c r="AY116" s="98">
        <v>1584.6153846153845</v>
      </c>
      <c r="AZ116" s="98">
        <v>1230.7692307692307</v>
      </c>
      <c r="BA116" s="100">
        <v>0.27419354838709675</v>
      </c>
      <c r="BB116" s="100">
        <v>0.4838709677419355</v>
      </c>
      <c r="BC116" s="100">
        <v>0.24193548387096775</v>
      </c>
      <c r="BD116" s="157">
        <v>0.7987000000000001</v>
      </c>
      <c r="BE116" s="157">
        <v>1.073</v>
      </c>
      <c r="BF116" s="161">
        <v>1140</v>
      </c>
      <c r="BG116" s="161">
        <v>1124</v>
      </c>
      <c r="BH116" s="161">
        <v>1336</v>
      </c>
      <c r="BI116" s="161">
        <v>1257</v>
      </c>
      <c r="BJ116" s="161">
        <v>639</v>
      </c>
      <c r="BK116" s="97"/>
      <c r="BL116" s="97"/>
      <c r="BM116" s="97"/>
      <c r="BN116" s="97"/>
    </row>
    <row r="117" spans="1:66" ht="12.75">
      <c r="A117" s="79" t="s">
        <v>288</v>
      </c>
      <c r="B117" s="79" t="s">
        <v>74</v>
      </c>
      <c r="C117" s="79" t="s">
        <v>392</v>
      </c>
      <c r="D117" s="99">
        <v>6522</v>
      </c>
      <c r="E117" s="99">
        <v>1777</v>
      </c>
      <c r="F117" s="99" t="s">
        <v>201</v>
      </c>
      <c r="G117" s="99">
        <v>51</v>
      </c>
      <c r="H117" s="99">
        <v>14</v>
      </c>
      <c r="I117" s="99">
        <v>147</v>
      </c>
      <c r="J117" s="99">
        <v>908</v>
      </c>
      <c r="K117" s="99">
        <v>19</v>
      </c>
      <c r="L117" s="99">
        <v>1137</v>
      </c>
      <c r="M117" s="99">
        <v>770</v>
      </c>
      <c r="N117" s="99">
        <v>394</v>
      </c>
      <c r="O117" s="99">
        <v>160</v>
      </c>
      <c r="P117" s="158">
        <v>160</v>
      </c>
      <c r="Q117" s="99">
        <v>18</v>
      </c>
      <c r="R117" s="99">
        <v>36</v>
      </c>
      <c r="S117" s="99">
        <v>25</v>
      </c>
      <c r="T117" s="99">
        <v>24</v>
      </c>
      <c r="U117" s="99">
        <v>13</v>
      </c>
      <c r="V117" s="99">
        <v>20</v>
      </c>
      <c r="W117" s="99">
        <v>43</v>
      </c>
      <c r="X117" s="99">
        <v>28</v>
      </c>
      <c r="Y117" s="99">
        <v>79</v>
      </c>
      <c r="Z117" s="99">
        <v>51</v>
      </c>
      <c r="AA117" s="99">
        <v>7</v>
      </c>
      <c r="AB117" s="99">
        <v>22</v>
      </c>
      <c r="AC117" s="99">
        <v>12</v>
      </c>
      <c r="AD117" s="98" t="s">
        <v>181</v>
      </c>
      <c r="AE117" s="100">
        <v>0.2724624348359399</v>
      </c>
      <c r="AF117" s="100">
        <v>0.1</v>
      </c>
      <c r="AG117" s="98">
        <v>781.96872125115</v>
      </c>
      <c r="AH117" s="98">
        <v>214.65808034345292</v>
      </c>
      <c r="AI117" s="100">
        <v>0.0225</v>
      </c>
      <c r="AJ117" s="100">
        <v>0.797191</v>
      </c>
      <c r="AK117" s="100">
        <v>0.703704</v>
      </c>
      <c r="AL117" s="100">
        <v>0.79344</v>
      </c>
      <c r="AM117" s="100">
        <v>0.645973</v>
      </c>
      <c r="AN117" s="100">
        <v>0.632424</v>
      </c>
      <c r="AO117" s="98">
        <v>2453.2352039251764</v>
      </c>
      <c r="AP117" s="157">
        <v>0.9338</v>
      </c>
      <c r="AQ117" s="100">
        <v>0.1125</v>
      </c>
      <c r="AR117" s="100">
        <v>0.5</v>
      </c>
      <c r="AS117" s="98">
        <v>383.3180006133088</v>
      </c>
      <c r="AT117" s="98">
        <v>367.98528058877645</v>
      </c>
      <c r="AU117" s="98">
        <v>199.3253603189206</v>
      </c>
      <c r="AV117" s="98">
        <v>306.65440049064705</v>
      </c>
      <c r="AW117" s="98">
        <v>659.3069610548912</v>
      </c>
      <c r="AX117" s="98">
        <v>429.31616068690585</v>
      </c>
      <c r="AY117" s="98">
        <v>1211.2848819380558</v>
      </c>
      <c r="AZ117" s="98">
        <v>781.96872125115</v>
      </c>
      <c r="BA117" s="100">
        <v>0.17073170731707318</v>
      </c>
      <c r="BB117" s="100">
        <v>0.5365853658536586</v>
      </c>
      <c r="BC117" s="100">
        <v>0.2926829268292683</v>
      </c>
      <c r="BD117" s="157">
        <v>0.7947</v>
      </c>
      <c r="BE117" s="157">
        <v>1.0902</v>
      </c>
      <c r="BF117" s="161">
        <v>1139</v>
      </c>
      <c r="BG117" s="161">
        <v>27</v>
      </c>
      <c r="BH117" s="161">
        <v>1433</v>
      </c>
      <c r="BI117" s="161">
        <v>1192</v>
      </c>
      <c r="BJ117" s="161">
        <v>623</v>
      </c>
      <c r="BK117" s="97"/>
      <c r="BL117" s="97"/>
      <c r="BM117" s="97"/>
      <c r="BN117" s="97"/>
    </row>
    <row r="118" spans="1:66" ht="12.75">
      <c r="A118" s="79" t="s">
        <v>331</v>
      </c>
      <c r="B118" s="79" t="s">
        <v>126</v>
      </c>
      <c r="C118" s="79" t="s">
        <v>392</v>
      </c>
      <c r="D118" s="99">
        <v>9022</v>
      </c>
      <c r="E118" s="99">
        <v>1903</v>
      </c>
      <c r="F118" s="99" t="s">
        <v>199</v>
      </c>
      <c r="G118" s="99">
        <v>47</v>
      </c>
      <c r="H118" s="99">
        <v>35</v>
      </c>
      <c r="I118" s="99">
        <v>187</v>
      </c>
      <c r="J118" s="99">
        <v>871</v>
      </c>
      <c r="K118" s="99">
        <v>11</v>
      </c>
      <c r="L118" s="99">
        <v>1611</v>
      </c>
      <c r="M118" s="99">
        <v>784</v>
      </c>
      <c r="N118" s="99">
        <v>374</v>
      </c>
      <c r="O118" s="99">
        <v>168</v>
      </c>
      <c r="P118" s="158">
        <v>168</v>
      </c>
      <c r="Q118" s="99">
        <v>34</v>
      </c>
      <c r="R118" s="99">
        <v>54</v>
      </c>
      <c r="S118" s="99">
        <v>21</v>
      </c>
      <c r="T118" s="99">
        <v>32</v>
      </c>
      <c r="U118" s="99">
        <v>7</v>
      </c>
      <c r="V118" s="99">
        <v>25</v>
      </c>
      <c r="W118" s="99">
        <v>50</v>
      </c>
      <c r="X118" s="99">
        <v>32</v>
      </c>
      <c r="Y118" s="99">
        <v>58</v>
      </c>
      <c r="Z118" s="99">
        <v>46</v>
      </c>
      <c r="AA118" s="99">
        <v>15</v>
      </c>
      <c r="AB118" s="99">
        <v>29</v>
      </c>
      <c r="AC118" s="99">
        <v>15</v>
      </c>
      <c r="AD118" s="98" t="s">
        <v>181</v>
      </c>
      <c r="AE118" s="100">
        <v>0.21092884061183773</v>
      </c>
      <c r="AF118" s="100">
        <v>0.17</v>
      </c>
      <c r="AG118" s="98">
        <v>520.9487918421636</v>
      </c>
      <c r="AH118" s="98">
        <v>387.9405896696963</v>
      </c>
      <c r="AI118" s="100">
        <v>0.0207</v>
      </c>
      <c r="AJ118" s="100">
        <v>0.664378</v>
      </c>
      <c r="AK118" s="100">
        <v>0.611111</v>
      </c>
      <c r="AL118" s="100">
        <v>0.766778</v>
      </c>
      <c r="AM118" s="100">
        <v>0.586387</v>
      </c>
      <c r="AN118" s="100">
        <v>0.568389</v>
      </c>
      <c r="AO118" s="98">
        <v>1862.1148304145422</v>
      </c>
      <c r="AP118" s="157">
        <v>0.8228</v>
      </c>
      <c r="AQ118" s="100">
        <v>0.20238095238095238</v>
      </c>
      <c r="AR118" s="100">
        <v>0.6296296296296297</v>
      </c>
      <c r="AS118" s="98">
        <v>232.76435380181778</v>
      </c>
      <c r="AT118" s="98">
        <v>354.6885391265795</v>
      </c>
      <c r="AU118" s="98">
        <v>77.58811793393926</v>
      </c>
      <c r="AV118" s="98">
        <v>277.1004211926402</v>
      </c>
      <c r="AW118" s="98">
        <v>554.2008423852805</v>
      </c>
      <c r="AX118" s="98">
        <v>354.6885391265795</v>
      </c>
      <c r="AY118" s="98">
        <v>642.8729771669252</v>
      </c>
      <c r="AZ118" s="98">
        <v>509.864774994458</v>
      </c>
      <c r="BA118" s="100">
        <v>0.2542372881355932</v>
      </c>
      <c r="BB118" s="100">
        <v>0.4915254237288136</v>
      </c>
      <c r="BC118" s="100">
        <v>0.2542372881355932</v>
      </c>
      <c r="BD118" s="157">
        <v>0.7031000000000001</v>
      </c>
      <c r="BE118" s="157">
        <v>0.9570000000000001</v>
      </c>
      <c r="BF118" s="161">
        <v>1311</v>
      </c>
      <c r="BG118" s="161">
        <v>18</v>
      </c>
      <c r="BH118" s="161">
        <v>2101</v>
      </c>
      <c r="BI118" s="161">
        <v>1337</v>
      </c>
      <c r="BJ118" s="161">
        <v>658</v>
      </c>
      <c r="BK118" s="97"/>
      <c r="BL118" s="97"/>
      <c r="BM118" s="97"/>
      <c r="BN118" s="97"/>
    </row>
    <row r="119" spans="1:66" ht="12.75">
      <c r="A119" s="79" t="s">
        <v>412</v>
      </c>
      <c r="B119" s="79" t="s">
        <v>169</v>
      </c>
      <c r="C119" s="79" t="s">
        <v>392</v>
      </c>
      <c r="D119" s="99">
        <v>6663</v>
      </c>
      <c r="E119" s="99">
        <v>769</v>
      </c>
      <c r="F119" s="99" t="s">
        <v>199</v>
      </c>
      <c r="G119" s="99">
        <v>26</v>
      </c>
      <c r="H119" s="99">
        <v>18</v>
      </c>
      <c r="I119" s="99">
        <v>95</v>
      </c>
      <c r="J119" s="99">
        <v>522</v>
      </c>
      <c r="K119" s="99">
        <v>494</v>
      </c>
      <c r="L119" s="99">
        <v>1348</v>
      </c>
      <c r="M119" s="99">
        <v>297</v>
      </c>
      <c r="N119" s="99">
        <v>161</v>
      </c>
      <c r="O119" s="99">
        <v>159</v>
      </c>
      <c r="P119" s="158">
        <v>159</v>
      </c>
      <c r="Q119" s="99">
        <v>18</v>
      </c>
      <c r="R119" s="99">
        <v>40</v>
      </c>
      <c r="S119" s="99">
        <v>24</v>
      </c>
      <c r="T119" s="99">
        <v>27</v>
      </c>
      <c r="U119" s="99">
        <v>8</v>
      </c>
      <c r="V119" s="99">
        <v>44</v>
      </c>
      <c r="W119" s="99">
        <v>52</v>
      </c>
      <c r="X119" s="99">
        <v>9</v>
      </c>
      <c r="Y119" s="99">
        <v>49</v>
      </c>
      <c r="Z119" s="99">
        <v>24</v>
      </c>
      <c r="AA119" s="99" t="s">
        <v>972</v>
      </c>
      <c r="AB119" s="99">
        <v>11</v>
      </c>
      <c r="AC119" s="99" t="s">
        <v>972</v>
      </c>
      <c r="AD119" s="98" t="s">
        <v>181</v>
      </c>
      <c r="AE119" s="100">
        <v>0.11541347741257692</v>
      </c>
      <c r="AF119" s="100">
        <v>0.2</v>
      </c>
      <c r="AG119" s="98">
        <v>390.21461803992196</v>
      </c>
      <c r="AH119" s="98">
        <v>270.148581719946</v>
      </c>
      <c r="AI119" s="100">
        <v>0.0143</v>
      </c>
      <c r="AJ119" s="100">
        <v>0.774481</v>
      </c>
      <c r="AK119" s="100">
        <v>0.756508</v>
      </c>
      <c r="AL119" s="100">
        <v>0.802381</v>
      </c>
      <c r="AM119" s="100">
        <v>0.521053</v>
      </c>
      <c r="AN119" s="100">
        <v>0.531353</v>
      </c>
      <c r="AO119" s="98">
        <v>2386.3124718595227</v>
      </c>
      <c r="AP119" s="157">
        <v>1.3733000000000002</v>
      </c>
      <c r="AQ119" s="100">
        <v>0.11320754716981132</v>
      </c>
      <c r="AR119" s="100">
        <v>0.45</v>
      </c>
      <c r="AS119" s="98">
        <v>360.19810895992794</v>
      </c>
      <c r="AT119" s="98">
        <v>405.22287257991894</v>
      </c>
      <c r="AU119" s="98">
        <v>120.06603631997599</v>
      </c>
      <c r="AV119" s="98">
        <v>660.3631997598679</v>
      </c>
      <c r="AW119" s="98">
        <v>780.4292360798439</v>
      </c>
      <c r="AX119" s="98">
        <v>135.074290859973</v>
      </c>
      <c r="AY119" s="98">
        <v>735.404472459853</v>
      </c>
      <c r="AZ119" s="98">
        <v>360.19810895992794</v>
      </c>
      <c r="BA119" s="100" t="s">
        <v>972</v>
      </c>
      <c r="BB119" s="100">
        <v>0.5238095238095238</v>
      </c>
      <c r="BC119" s="100" t="s">
        <v>972</v>
      </c>
      <c r="BD119" s="157">
        <v>1.1682</v>
      </c>
      <c r="BE119" s="157">
        <v>1.6041999999999998</v>
      </c>
      <c r="BF119" s="161">
        <v>674</v>
      </c>
      <c r="BG119" s="161">
        <v>653</v>
      </c>
      <c r="BH119" s="161">
        <v>1680</v>
      </c>
      <c r="BI119" s="161">
        <v>570</v>
      </c>
      <c r="BJ119" s="161">
        <v>303</v>
      </c>
      <c r="BK119" s="97"/>
      <c r="BL119" s="97"/>
      <c r="BM119" s="97"/>
      <c r="BN119" s="97"/>
    </row>
    <row r="120" spans="1:66" ht="12.75">
      <c r="A120" s="79" t="s">
        <v>282</v>
      </c>
      <c r="B120" s="79" t="s">
        <v>67</v>
      </c>
      <c r="C120" s="79" t="s">
        <v>392</v>
      </c>
      <c r="D120" s="99">
        <v>9968</v>
      </c>
      <c r="E120" s="99">
        <v>2125</v>
      </c>
      <c r="F120" s="99" t="s">
        <v>199</v>
      </c>
      <c r="G120" s="99">
        <v>61</v>
      </c>
      <c r="H120" s="99">
        <v>32</v>
      </c>
      <c r="I120" s="99">
        <v>194</v>
      </c>
      <c r="J120" s="99">
        <v>1043</v>
      </c>
      <c r="K120" s="99">
        <v>19</v>
      </c>
      <c r="L120" s="99">
        <v>1749</v>
      </c>
      <c r="M120" s="99">
        <v>908</v>
      </c>
      <c r="N120" s="99">
        <v>478</v>
      </c>
      <c r="O120" s="99">
        <v>276</v>
      </c>
      <c r="P120" s="158">
        <v>276</v>
      </c>
      <c r="Q120" s="99">
        <v>13</v>
      </c>
      <c r="R120" s="99">
        <v>52</v>
      </c>
      <c r="S120" s="99">
        <v>57</v>
      </c>
      <c r="T120" s="99">
        <v>50</v>
      </c>
      <c r="U120" s="99">
        <v>16</v>
      </c>
      <c r="V120" s="99">
        <v>28</v>
      </c>
      <c r="W120" s="99">
        <v>66</v>
      </c>
      <c r="X120" s="99">
        <v>64</v>
      </c>
      <c r="Y120" s="99">
        <v>88</v>
      </c>
      <c r="Z120" s="99">
        <v>57</v>
      </c>
      <c r="AA120" s="99">
        <v>10</v>
      </c>
      <c r="AB120" s="99">
        <v>27</v>
      </c>
      <c r="AC120" s="99">
        <v>9</v>
      </c>
      <c r="AD120" s="98" t="s">
        <v>181</v>
      </c>
      <c r="AE120" s="100">
        <v>0.21318218298555378</v>
      </c>
      <c r="AF120" s="100">
        <v>0.17</v>
      </c>
      <c r="AG120" s="98">
        <v>611.9582664526484</v>
      </c>
      <c r="AH120" s="98">
        <v>321.02728731942216</v>
      </c>
      <c r="AI120" s="100">
        <v>0.0195</v>
      </c>
      <c r="AJ120" s="100">
        <v>0.682592</v>
      </c>
      <c r="AK120" s="100">
        <v>0.575758</v>
      </c>
      <c r="AL120" s="100">
        <v>0.772185</v>
      </c>
      <c r="AM120" s="100">
        <v>0.594241</v>
      </c>
      <c r="AN120" s="100">
        <v>0.59601</v>
      </c>
      <c r="AO120" s="98">
        <v>2768.860353130016</v>
      </c>
      <c r="AP120" s="157">
        <v>1.2111</v>
      </c>
      <c r="AQ120" s="100">
        <v>0.04710144927536232</v>
      </c>
      <c r="AR120" s="100">
        <v>0.25</v>
      </c>
      <c r="AS120" s="98">
        <v>571.8298555377207</v>
      </c>
      <c r="AT120" s="98">
        <v>501.6051364365971</v>
      </c>
      <c r="AU120" s="98">
        <v>160.51364365971108</v>
      </c>
      <c r="AV120" s="98">
        <v>280.8988764044944</v>
      </c>
      <c r="AW120" s="98">
        <v>662.1187800963082</v>
      </c>
      <c r="AX120" s="98">
        <v>642.0545746388443</v>
      </c>
      <c r="AY120" s="98">
        <v>882.8250401284109</v>
      </c>
      <c r="AZ120" s="98">
        <v>571.8298555377207</v>
      </c>
      <c r="BA120" s="100">
        <v>0.21739130434782608</v>
      </c>
      <c r="BB120" s="100">
        <v>0.5869565217391305</v>
      </c>
      <c r="BC120" s="100">
        <v>0.1956521739130435</v>
      </c>
      <c r="BD120" s="157">
        <v>1.0724</v>
      </c>
      <c r="BE120" s="157">
        <v>1.3628</v>
      </c>
      <c r="BF120" s="161">
        <v>1528</v>
      </c>
      <c r="BG120" s="161">
        <v>33</v>
      </c>
      <c r="BH120" s="161">
        <v>2265</v>
      </c>
      <c r="BI120" s="161">
        <v>1528</v>
      </c>
      <c r="BJ120" s="161">
        <v>802</v>
      </c>
      <c r="BK120" s="97"/>
      <c r="BL120" s="97"/>
      <c r="BM120" s="97"/>
      <c r="BN120" s="97"/>
    </row>
    <row r="121" spans="1:66" ht="12.75">
      <c r="A121" s="79" t="s">
        <v>364</v>
      </c>
      <c r="B121" s="79" t="s">
        <v>165</v>
      </c>
      <c r="C121" s="79" t="s">
        <v>392</v>
      </c>
      <c r="D121" s="99">
        <v>2144</v>
      </c>
      <c r="E121" s="99">
        <v>696</v>
      </c>
      <c r="F121" s="99" t="s">
        <v>203</v>
      </c>
      <c r="G121" s="99">
        <v>18</v>
      </c>
      <c r="H121" s="99">
        <v>11</v>
      </c>
      <c r="I121" s="99">
        <v>71</v>
      </c>
      <c r="J121" s="99">
        <v>340</v>
      </c>
      <c r="K121" s="99" t="s">
        <v>972</v>
      </c>
      <c r="L121" s="99">
        <v>425</v>
      </c>
      <c r="M121" s="99">
        <v>317</v>
      </c>
      <c r="N121" s="99">
        <v>171</v>
      </c>
      <c r="O121" s="99">
        <v>55</v>
      </c>
      <c r="P121" s="158">
        <v>55</v>
      </c>
      <c r="Q121" s="99">
        <v>6</v>
      </c>
      <c r="R121" s="99">
        <v>12</v>
      </c>
      <c r="S121" s="99">
        <v>6</v>
      </c>
      <c r="T121" s="99">
        <v>12</v>
      </c>
      <c r="U121" s="99" t="s">
        <v>972</v>
      </c>
      <c r="V121" s="99">
        <v>9</v>
      </c>
      <c r="W121" s="99">
        <v>20</v>
      </c>
      <c r="X121" s="99" t="s">
        <v>972</v>
      </c>
      <c r="Y121" s="99">
        <v>16</v>
      </c>
      <c r="Z121" s="99">
        <v>12</v>
      </c>
      <c r="AA121" s="99" t="s">
        <v>972</v>
      </c>
      <c r="AB121" s="99">
        <v>16</v>
      </c>
      <c r="AC121" s="99" t="s">
        <v>972</v>
      </c>
      <c r="AD121" s="98" t="s">
        <v>181</v>
      </c>
      <c r="AE121" s="100">
        <v>0.3246268656716418</v>
      </c>
      <c r="AF121" s="100">
        <v>0.06</v>
      </c>
      <c r="AG121" s="98">
        <v>839.5522388059702</v>
      </c>
      <c r="AH121" s="98">
        <v>513.0597014925373</v>
      </c>
      <c r="AI121" s="100">
        <v>0.0331</v>
      </c>
      <c r="AJ121" s="100">
        <v>0.815348</v>
      </c>
      <c r="AK121" s="100" t="s">
        <v>972</v>
      </c>
      <c r="AL121" s="100">
        <v>0.862069</v>
      </c>
      <c r="AM121" s="100">
        <v>0.752969</v>
      </c>
      <c r="AN121" s="100">
        <v>0.799065</v>
      </c>
      <c r="AO121" s="98">
        <v>2565.2985074626868</v>
      </c>
      <c r="AP121" s="157">
        <v>0.8987999999999999</v>
      </c>
      <c r="AQ121" s="100">
        <v>0.10909090909090909</v>
      </c>
      <c r="AR121" s="100">
        <v>0.5</v>
      </c>
      <c r="AS121" s="98">
        <v>279.85074626865674</v>
      </c>
      <c r="AT121" s="98">
        <v>559.7014925373135</v>
      </c>
      <c r="AU121" s="98" t="s">
        <v>972</v>
      </c>
      <c r="AV121" s="98">
        <v>419.7761194029851</v>
      </c>
      <c r="AW121" s="98">
        <v>932.8358208955224</v>
      </c>
      <c r="AX121" s="98" t="s">
        <v>972</v>
      </c>
      <c r="AY121" s="98">
        <v>746.2686567164179</v>
      </c>
      <c r="AZ121" s="98">
        <v>559.7014925373135</v>
      </c>
      <c r="BA121" s="100" t="s">
        <v>972</v>
      </c>
      <c r="BB121" s="100">
        <v>0.7619047619047619</v>
      </c>
      <c r="BC121" s="100" t="s">
        <v>972</v>
      </c>
      <c r="BD121" s="157">
        <v>0.6770999999999999</v>
      </c>
      <c r="BE121" s="157">
        <v>1.1699</v>
      </c>
      <c r="BF121" s="161">
        <v>417</v>
      </c>
      <c r="BG121" s="161" t="s">
        <v>972</v>
      </c>
      <c r="BH121" s="161">
        <v>493</v>
      </c>
      <c r="BI121" s="161">
        <v>421</v>
      </c>
      <c r="BJ121" s="161">
        <v>214</v>
      </c>
      <c r="BK121" s="97"/>
      <c r="BL121" s="97"/>
      <c r="BM121" s="97"/>
      <c r="BN121" s="97"/>
    </row>
    <row r="122" spans="1:66" ht="12.75">
      <c r="A122" s="79" t="s">
        <v>339</v>
      </c>
      <c r="B122" s="79" t="s">
        <v>136</v>
      </c>
      <c r="C122" s="79" t="s">
        <v>392</v>
      </c>
      <c r="D122" s="99">
        <v>4391</v>
      </c>
      <c r="E122" s="99">
        <v>883</v>
      </c>
      <c r="F122" s="99" t="s">
        <v>199</v>
      </c>
      <c r="G122" s="99">
        <v>20</v>
      </c>
      <c r="H122" s="99">
        <v>10</v>
      </c>
      <c r="I122" s="99">
        <v>94</v>
      </c>
      <c r="J122" s="99">
        <v>409</v>
      </c>
      <c r="K122" s="99">
        <v>92</v>
      </c>
      <c r="L122" s="99">
        <v>753</v>
      </c>
      <c r="M122" s="99">
        <v>298</v>
      </c>
      <c r="N122" s="99">
        <v>134</v>
      </c>
      <c r="O122" s="99">
        <v>101</v>
      </c>
      <c r="P122" s="158">
        <v>101</v>
      </c>
      <c r="Q122" s="99">
        <v>17</v>
      </c>
      <c r="R122" s="99">
        <v>27</v>
      </c>
      <c r="S122" s="99">
        <v>15</v>
      </c>
      <c r="T122" s="99">
        <v>15</v>
      </c>
      <c r="U122" s="99">
        <v>6</v>
      </c>
      <c r="V122" s="99">
        <v>19</v>
      </c>
      <c r="W122" s="99">
        <v>26</v>
      </c>
      <c r="X122" s="99" t="s">
        <v>972</v>
      </c>
      <c r="Y122" s="99">
        <v>29</v>
      </c>
      <c r="Z122" s="99">
        <v>21</v>
      </c>
      <c r="AA122" s="99" t="s">
        <v>972</v>
      </c>
      <c r="AB122" s="99">
        <v>14</v>
      </c>
      <c r="AC122" s="99" t="s">
        <v>972</v>
      </c>
      <c r="AD122" s="98" t="s">
        <v>181</v>
      </c>
      <c r="AE122" s="100">
        <v>0.20109314506946027</v>
      </c>
      <c r="AF122" s="100">
        <v>0.18</v>
      </c>
      <c r="AG122" s="98">
        <v>455.4771122751082</v>
      </c>
      <c r="AH122" s="98">
        <v>227.7385561375541</v>
      </c>
      <c r="AI122" s="100">
        <v>0.021400000000000002</v>
      </c>
      <c r="AJ122" s="100">
        <v>0.749084</v>
      </c>
      <c r="AK122" s="100">
        <v>0.519774</v>
      </c>
      <c r="AL122" s="100">
        <v>0.707707</v>
      </c>
      <c r="AM122" s="100">
        <v>0.550832</v>
      </c>
      <c r="AN122" s="100">
        <v>0.478571</v>
      </c>
      <c r="AO122" s="98">
        <v>2300.1594169892965</v>
      </c>
      <c r="AP122" s="157">
        <v>1.0317</v>
      </c>
      <c r="AQ122" s="100">
        <v>0.16831683168316833</v>
      </c>
      <c r="AR122" s="100">
        <v>0.6296296296296297</v>
      </c>
      <c r="AS122" s="98">
        <v>341.6078342063311</v>
      </c>
      <c r="AT122" s="98">
        <v>341.6078342063311</v>
      </c>
      <c r="AU122" s="98">
        <v>136.64313368253246</v>
      </c>
      <c r="AV122" s="98">
        <v>432.7032566613528</v>
      </c>
      <c r="AW122" s="98">
        <v>592.1202459576406</v>
      </c>
      <c r="AX122" s="98" t="s">
        <v>972</v>
      </c>
      <c r="AY122" s="98">
        <v>660.4418127989069</v>
      </c>
      <c r="AZ122" s="98">
        <v>478.25096788886356</v>
      </c>
      <c r="BA122" s="100" t="s">
        <v>972</v>
      </c>
      <c r="BB122" s="100">
        <v>0.6086956521739131</v>
      </c>
      <c r="BC122" s="100" t="s">
        <v>972</v>
      </c>
      <c r="BD122" s="157">
        <v>0.8403</v>
      </c>
      <c r="BE122" s="157">
        <v>1.2536</v>
      </c>
      <c r="BF122" s="161">
        <v>546</v>
      </c>
      <c r="BG122" s="161">
        <v>177</v>
      </c>
      <c r="BH122" s="161">
        <v>1064</v>
      </c>
      <c r="BI122" s="161">
        <v>541</v>
      </c>
      <c r="BJ122" s="161">
        <v>280</v>
      </c>
      <c r="BK122" s="97"/>
      <c r="BL122" s="97"/>
      <c r="BM122" s="97"/>
      <c r="BN122" s="97"/>
    </row>
    <row r="123" spans="1:66" ht="12.75">
      <c r="A123" s="79" t="s">
        <v>296</v>
      </c>
      <c r="B123" s="79" t="s">
        <v>84</v>
      </c>
      <c r="C123" s="79" t="s">
        <v>392</v>
      </c>
      <c r="D123" s="99">
        <v>7558</v>
      </c>
      <c r="E123" s="99">
        <v>1634</v>
      </c>
      <c r="F123" s="99" t="s">
        <v>203</v>
      </c>
      <c r="G123" s="99">
        <v>62</v>
      </c>
      <c r="H123" s="99">
        <v>22</v>
      </c>
      <c r="I123" s="99">
        <v>212</v>
      </c>
      <c r="J123" s="99">
        <v>821</v>
      </c>
      <c r="K123" s="99">
        <v>14</v>
      </c>
      <c r="L123" s="99">
        <v>1523</v>
      </c>
      <c r="M123" s="99">
        <v>682</v>
      </c>
      <c r="N123" s="99">
        <v>324</v>
      </c>
      <c r="O123" s="99">
        <v>283</v>
      </c>
      <c r="P123" s="158">
        <v>283</v>
      </c>
      <c r="Q123" s="99">
        <v>26</v>
      </c>
      <c r="R123" s="99">
        <v>42</v>
      </c>
      <c r="S123" s="99">
        <v>53</v>
      </c>
      <c r="T123" s="99">
        <v>53</v>
      </c>
      <c r="U123" s="99" t="s">
        <v>972</v>
      </c>
      <c r="V123" s="99">
        <v>72</v>
      </c>
      <c r="W123" s="99">
        <v>74</v>
      </c>
      <c r="X123" s="99">
        <v>39</v>
      </c>
      <c r="Y123" s="99">
        <v>90</v>
      </c>
      <c r="Z123" s="99">
        <v>73</v>
      </c>
      <c r="AA123" s="99">
        <v>6</v>
      </c>
      <c r="AB123" s="99">
        <v>23</v>
      </c>
      <c r="AC123" s="99">
        <v>11</v>
      </c>
      <c r="AD123" s="98" t="s">
        <v>181</v>
      </c>
      <c r="AE123" s="100">
        <v>0.21619476051865572</v>
      </c>
      <c r="AF123" s="100">
        <v>0.08</v>
      </c>
      <c r="AG123" s="98">
        <v>820.3228367292935</v>
      </c>
      <c r="AH123" s="98">
        <v>291.08229690394285</v>
      </c>
      <c r="AI123" s="100">
        <v>0.027999999999999997</v>
      </c>
      <c r="AJ123" s="100">
        <v>0.730427</v>
      </c>
      <c r="AK123" s="100">
        <v>0.56</v>
      </c>
      <c r="AL123" s="100">
        <v>0.823243</v>
      </c>
      <c r="AM123" s="100">
        <v>0.649524</v>
      </c>
      <c r="AN123" s="100">
        <v>0.614801</v>
      </c>
      <c r="AO123" s="98">
        <v>3744.3768192643556</v>
      </c>
      <c r="AP123" s="157">
        <v>1.6103999999999998</v>
      </c>
      <c r="AQ123" s="100">
        <v>0.09187279151943463</v>
      </c>
      <c r="AR123" s="100">
        <v>0.6190476190476191</v>
      </c>
      <c r="AS123" s="98">
        <v>701.2437152685895</v>
      </c>
      <c r="AT123" s="98">
        <v>701.2437152685895</v>
      </c>
      <c r="AU123" s="98" t="s">
        <v>972</v>
      </c>
      <c r="AV123" s="98">
        <v>952.6329716856311</v>
      </c>
      <c r="AW123" s="98">
        <v>979.0949986768986</v>
      </c>
      <c r="AX123" s="98">
        <v>516.0095263297169</v>
      </c>
      <c r="AY123" s="98">
        <v>1190.791214607039</v>
      </c>
      <c r="AZ123" s="98">
        <v>965.8639851812649</v>
      </c>
      <c r="BA123" s="100">
        <v>0.15</v>
      </c>
      <c r="BB123" s="100">
        <v>0.575</v>
      </c>
      <c r="BC123" s="100">
        <v>0.275</v>
      </c>
      <c r="BD123" s="157">
        <v>1.4282</v>
      </c>
      <c r="BE123" s="157">
        <v>1.8094</v>
      </c>
      <c r="BF123" s="161">
        <v>1124</v>
      </c>
      <c r="BG123" s="161">
        <v>25</v>
      </c>
      <c r="BH123" s="161">
        <v>1850</v>
      </c>
      <c r="BI123" s="161">
        <v>1050</v>
      </c>
      <c r="BJ123" s="161">
        <v>527</v>
      </c>
      <c r="BK123" s="97"/>
      <c r="BL123" s="97"/>
      <c r="BM123" s="97"/>
      <c r="BN123" s="97"/>
    </row>
    <row r="124" spans="1:66" ht="12.75">
      <c r="A124" s="79" t="s">
        <v>371</v>
      </c>
      <c r="B124" s="79" t="s">
        <v>173</v>
      </c>
      <c r="C124" s="79" t="s">
        <v>392</v>
      </c>
      <c r="D124" s="99">
        <v>5103</v>
      </c>
      <c r="E124" s="99">
        <v>466</v>
      </c>
      <c r="F124" s="99" t="s">
        <v>199</v>
      </c>
      <c r="G124" s="99">
        <v>18</v>
      </c>
      <c r="H124" s="99">
        <v>6</v>
      </c>
      <c r="I124" s="99">
        <v>57</v>
      </c>
      <c r="J124" s="99">
        <v>236</v>
      </c>
      <c r="K124" s="99" t="s">
        <v>972</v>
      </c>
      <c r="L124" s="99">
        <v>854</v>
      </c>
      <c r="M124" s="99">
        <v>131</v>
      </c>
      <c r="N124" s="99">
        <v>72</v>
      </c>
      <c r="O124" s="99">
        <v>81</v>
      </c>
      <c r="P124" s="158">
        <v>81</v>
      </c>
      <c r="Q124" s="99">
        <v>8</v>
      </c>
      <c r="R124" s="99">
        <v>13</v>
      </c>
      <c r="S124" s="99">
        <v>23</v>
      </c>
      <c r="T124" s="99">
        <v>8</v>
      </c>
      <c r="U124" s="99" t="s">
        <v>972</v>
      </c>
      <c r="V124" s="99">
        <v>21</v>
      </c>
      <c r="W124" s="99">
        <v>25</v>
      </c>
      <c r="X124" s="99">
        <v>17</v>
      </c>
      <c r="Y124" s="99">
        <v>40</v>
      </c>
      <c r="Z124" s="99">
        <v>18</v>
      </c>
      <c r="AA124" s="99" t="s">
        <v>972</v>
      </c>
      <c r="AB124" s="99" t="s">
        <v>972</v>
      </c>
      <c r="AC124" s="99" t="s">
        <v>972</v>
      </c>
      <c r="AD124" s="98" t="s">
        <v>181</v>
      </c>
      <c r="AE124" s="100">
        <v>0.0913188320595728</v>
      </c>
      <c r="AF124" s="100">
        <v>0.2</v>
      </c>
      <c r="AG124" s="98">
        <v>352.7336860670194</v>
      </c>
      <c r="AH124" s="98">
        <v>117.57789535567314</v>
      </c>
      <c r="AI124" s="100">
        <v>0.011200000000000002</v>
      </c>
      <c r="AJ124" s="100">
        <v>0.533937</v>
      </c>
      <c r="AK124" s="100" t="s">
        <v>972</v>
      </c>
      <c r="AL124" s="100">
        <v>0.68871</v>
      </c>
      <c r="AM124" s="100">
        <v>0.414557</v>
      </c>
      <c r="AN124" s="100">
        <v>0.402235</v>
      </c>
      <c r="AO124" s="98">
        <v>1587.3015873015872</v>
      </c>
      <c r="AP124" s="157">
        <v>1.0282</v>
      </c>
      <c r="AQ124" s="100">
        <v>0.09876543209876543</v>
      </c>
      <c r="AR124" s="100">
        <v>0.6153846153846154</v>
      </c>
      <c r="AS124" s="98">
        <v>450.71526553008033</v>
      </c>
      <c r="AT124" s="98">
        <v>156.7705271408975</v>
      </c>
      <c r="AU124" s="98" t="s">
        <v>972</v>
      </c>
      <c r="AV124" s="98">
        <v>411.52263374485597</v>
      </c>
      <c r="AW124" s="98">
        <v>489.9078973153047</v>
      </c>
      <c r="AX124" s="98">
        <v>333.13737017440724</v>
      </c>
      <c r="AY124" s="98">
        <v>783.8526357044875</v>
      </c>
      <c r="AZ124" s="98">
        <v>352.7336860670194</v>
      </c>
      <c r="BA124" s="100" t="s">
        <v>972</v>
      </c>
      <c r="BB124" s="100" t="s">
        <v>972</v>
      </c>
      <c r="BC124" s="100" t="s">
        <v>972</v>
      </c>
      <c r="BD124" s="157">
        <v>0.8166</v>
      </c>
      <c r="BE124" s="157">
        <v>1.278</v>
      </c>
      <c r="BF124" s="161">
        <v>442</v>
      </c>
      <c r="BG124" s="161" t="s">
        <v>972</v>
      </c>
      <c r="BH124" s="161">
        <v>1240</v>
      </c>
      <c r="BI124" s="161">
        <v>316</v>
      </c>
      <c r="BJ124" s="161">
        <v>179</v>
      </c>
      <c r="BK124" s="97"/>
      <c r="BL124" s="97"/>
      <c r="BM124" s="97"/>
      <c r="BN124" s="97"/>
    </row>
    <row r="125" spans="1:66" ht="12.75">
      <c r="A125" s="79" t="s">
        <v>340</v>
      </c>
      <c r="B125" s="79" t="s">
        <v>139</v>
      </c>
      <c r="C125" s="79" t="s">
        <v>392</v>
      </c>
      <c r="D125" s="99">
        <v>3517</v>
      </c>
      <c r="E125" s="99">
        <v>754</v>
      </c>
      <c r="F125" s="99" t="s">
        <v>203</v>
      </c>
      <c r="G125" s="99">
        <v>26</v>
      </c>
      <c r="H125" s="99">
        <v>10</v>
      </c>
      <c r="I125" s="99">
        <v>59</v>
      </c>
      <c r="J125" s="99">
        <v>426</v>
      </c>
      <c r="K125" s="99" t="s">
        <v>972</v>
      </c>
      <c r="L125" s="99">
        <v>709</v>
      </c>
      <c r="M125" s="99">
        <v>328</v>
      </c>
      <c r="N125" s="99">
        <v>150</v>
      </c>
      <c r="O125" s="99">
        <v>86</v>
      </c>
      <c r="P125" s="158">
        <v>86</v>
      </c>
      <c r="Q125" s="99">
        <v>10</v>
      </c>
      <c r="R125" s="99">
        <v>22</v>
      </c>
      <c r="S125" s="99">
        <v>14</v>
      </c>
      <c r="T125" s="99">
        <v>23</v>
      </c>
      <c r="U125" s="99" t="s">
        <v>972</v>
      </c>
      <c r="V125" s="99">
        <v>13</v>
      </c>
      <c r="W125" s="99">
        <v>37</v>
      </c>
      <c r="X125" s="99">
        <v>15</v>
      </c>
      <c r="Y125" s="99">
        <v>46</v>
      </c>
      <c r="Z125" s="99">
        <v>17</v>
      </c>
      <c r="AA125" s="99" t="s">
        <v>972</v>
      </c>
      <c r="AB125" s="99" t="s">
        <v>972</v>
      </c>
      <c r="AC125" s="99" t="s">
        <v>972</v>
      </c>
      <c r="AD125" s="98" t="s">
        <v>181</v>
      </c>
      <c r="AE125" s="100">
        <v>0.2143872618709127</v>
      </c>
      <c r="AF125" s="100">
        <v>0.06</v>
      </c>
      <c r="AG125" s="98">
        <v>739.2664202445266</v>
      </c>
      <c r="AH125" s="98">
        <v>284.3332385555872</v>
      </c>
      <c r="AI125" s="100">
        <v>0.0168</v>
      </c>
      <c r="AJ125" s="100">
        <v>0.766187</v>
      </c>
      <c r="AK125" s="100" t="s">
        <v>972</v>
      </c>
      <c r="AL125" s="100">
        <v>0.796629</v>
      </c>
      <c r="AM125" s="100">
        <v>0.668024</v>
      </c>
      <c r="AN125" s="100">
        <v>0.617284</v>
      </c>
      <c r="AO125" s="98">
        <v>2445.2658515780495</v>
      </c>
      <c r="AP125" s="157">
        <v>1.0127</v>
      </c>
      <c r="AQ125" s="100">
        <v>0.11627906976744186</v>
      </c>
      <c r="AR125" s="100">
        <v>0.45454545454545453</v>
      </c>
      <c r="AS125" s="98">
        <v>398.066533977822</v>
      </c>
      <c r="AT125" s="98">
        <v>653.9664486778504</v>
      </c>
      <c r="AU125" s="98" t="s">
        <v>972</v>
      </c>
      <c r="AV125" s="98">
        <v>369.6332101222633</v>
      </c>
      <c r="AW125" s="98">
        <v>1052.0329826556724</v>
      </c>
      <c r="AX125" s="98">
        <v>426.4998578333807</v>
      </c>
      <c r="AY125" s="98">
        <v>1307.9328973557008</v>
      </c>
      <c r="AZ125" s="98">
        <v>483.3665055444981</v>
      </c>
      <c r="BA125" s="100" t="s">
        <v>972</v>
      </c>
      <c r="BB125" s="100" t="s">
        <v>972</v>
      </c>
      <c r="BC125" s="100" t="s">
        <v>972</v>
      </c>
      <c r="BD125" s="157">
        <v>0.8101</v>
      </c>
      <c r="BE125" s="157">
        <v>1.2507</v>
      </c>
      <c r="BF125" s="161">
        <v>556</v>
      </c>
      <c r="BG125" s="161" t="s">
        <v>972</v>
      </c>
      <c r="BH125" s="161">
        <v>890</v>
      </c>
      <c r="BI125" s="161">
        <v>491</v>
      </c>
      <c r="BJ125" s="161">
        <v>243</v>
      </c>
      <c r="BK125" s="97"/>
      <c r="BL125" s="97"/>
      <c r="BM125" s="97"/>
      <c r="BN125" s="97"/>
    </row>
    <row r="126" spans="1:66" ht="12.75">
      <c r="A126" s="79" t="s">
        <v>318</v>
      </c>
      <c r="B126" s="79" t="s">
        <v>110</v>
      </c>
      <c r="C126" s="79" t="s">
        <v>392</v>
      </c>
      <c r="D126" s="99">
        <v>5165</v>
      </c>
      <c r="E126" s="99">
        <v>863</v>
      </c>
      <c r="F126" s="99" t="s">
        <v>199</v>
      </c>
      <c r="G126" s="99">
        <v>28</v>
      </c>
      <c r="H126" s="99">
        <v>14</v>
      </c>
      <c r="I126" s="99">
        <v>128</v>
      </c>
      <c r="J126" s="99">
        <v>347</v>
      </c>
      <c r="K126" s="99" t="s">
        <v>972</v>
      </c>
      <c r="L126" s="99">
        <v>950</v>
      </c>
      <c r="M126" s="99">
        <v>272</v>
      </c>
      <c r="N126" s="99">
        <v>142</v>
      </c>
      <c r="O126" s="99">
        <v>280</v>
      </c>
      <c r="P126" s="158">
        <v>280</v>
      </c>
      <c r="Q126" s="99">
        <v>27</v>
      </c>
      <c r="R126" s="99">
        <v>39</v>
      </c>
      <c r="S126" s="99">
        <v>26</v>
      </c>
      <c r="T126" s="99">
        <v>48</v>
      </c>
      <c r="U126" s="99">
        <v>10</v>
      </c>
      <c r="V126" s="99">
        <v>73</v>
      </c>
      <c r="W126" s="99">
        <v>63</v>
      </c>
      <c r="X126" s="99">
        <v>13</v>
      </c>
      <c r="Y126" s="99">
        <v>58</v>
      </c>
      <c r="Z126" s="99">
        <v>43</v>
      </c>
      <c r="AA126" s="99" t="s">
        <v>972</v>
      </c>
      <c r="AB126" s="99">
        <v>15</v>
      </c>
      <c r="AC126" s="99" t="s">
        <v>972</v>
      </c>
      <c r="AD126" s="98" t="s">
        <v>181</v>
      </c>
      <c r="AE126" s="100">
        <v>0.1670861568247822</v>
      </c>
      <c r="AF126" s="100">
        <v>0.2</v>
      </c>
      <c r="AG126" s="98">
        <v>542.110358180058</v>
      </c>
      <c r="AH126" s="98">
        <v>271.055179090029</v>
      </c>
      <c r="AI126" s="100">
        <v>0.0248</v>
      </c>
      <c r="AJ126" s="100">
        <v>0.594178</v>
      </c>
      <c r="AK126" s="100" t="s">
        <v>972</v>
      </c>
      <c r="AL126" s="100">
        <v>0.798991</v>
      </c>
      <c r="AM126" s="100">
        <v>0.54509</v>
      </c>
      <c r="AN126" s="100">
        <v>0.552529</v>
      </c>
      <c r="AO126" s="98">
        <v>5421.103581800581</v>
      </c>
      <c r="AP126" s="157">
        <v>2.7064999999999997</v>
      </c>
      <c r="AQ126" s="100">
        <v>0.09642857142857143</v>
      </c>
      <c r="AR126" s="100">
        <v>0.6923076923076923</v>
      </c>
      <c r="AS126" s="98">
        <v>503.3881897386254</v>
      </c>
      <c r="AT126" s="98">
        <v>929.3320425943853</v>
      </c>
      <c r="AU126" s="98">
        <v>193.6108422071636</v>
      </c>
      <c r="AV126" s="98">
        <v>1413.3591481122942</v>
      </c>
      <c r="AW126" s="98">
        <v>1219.7483059051308</v>
      </c>
      <c r="AX126" s="98">
        <v>251.6940948693127</v>
      </c>
      <c r="AY126" s="98">
        <v>1122.9428848015489</v>
      </c>
      <c r="AZ126" s="98">
        <v>832.5266214908034</v>
      </c>
      <c r="BA126" s="100" t="s">
        <v>972</v>
      </c>
      <c r="BB126" s="100">
        <v>0.75</v>
      </c>
      <c r="BC126" s="100" t="s">
        <v>972</v>
      </c>
      <c r="BD126" s="157">
        <v>2.3988</v>
      </c>
      <c r="BE126" s="157">
        <v>3.0427999999999997</v>
      </c>
      <c r="BF126" s="161">
        <v>584</v>
      </c>
      <c r="BG126" s="161" t="s">
        <v>972</v>
      </c>
      <c r="BH126" s="161">
        <v>1189</v>
      </c>
      <c r="BI126" s="161">
        <v>499</v>
      </c>
      <c r="BJ126" s="161">
        <v>257</v>
      </c>
      <c r="BK126" s="97"/>
      <c r="BL126" s="97"/>
      <c r="BM126" s="97"/>
      <c r="BN126" s="97"/>
    </row>
    <row r="127" spans="1:66" ht="12.75">
      <c r="A127" s="79" t="s">
        <v>349</v>
      </c>
      <c r="B127" s="79" t="s">
        <v>148</v>
      </c>
      <c r="C127" s="79" t="s">
        <v>392</v>
      </c>
      <c r="D127" s="99">
        <v>3696</v>
      </c>
      <c r="E127" s="99">
        <v>907</v>
      </c>
      <c r="F127" s="99" t="s">
        <v>203</v>
      </c>
      <c r="G127" s="99">
        <v>23</v>
      </c>
      <c r="H127" s="99">
        <v>6</v>
      </c>
      <c r="I127" s="99">
        <v>64</v>
      </c>
      <c r="J127" s="99">
        <v>480</v>
      </c>
      <c r="K127" s="99">
        <v>446</v>
      </c>
      <c r="L127" s="99">
        <v>708</v>
      </c>
      <c r="M127" s="99">
        <v>393</v>
      </c>
      <c r="N127" s="99">
        <v>191</v>
      </c>
      <c r="O127" s="99">
        <v>96</v>
      </c>
      <c r="P127" s="158">
        <v>96</v>
      </c>
      <c r="Q127" s="99">
        <v>9</v>
      </c>
      <c r="R127" s="99">
        <v>20</v>
      </c>
      <c r="S127" s="99">
        <v>19</v>
      </c>
      <c r="T127" s="99">
        <v>19</v>
      </c>
      <c r="U127" s="99" t="s">
        <v>972</v>
      </c>
      <c r="V127" s="99">
        <v>17</v>
      </c>
      <c r="W127" s="99">
        <v>27</v>
      </c>
      <c r="X127" s="99">
        <v>11</v>
      </c>
      <c r="Y127" s="99">
        <v>29</v>
      </c>
      <c r="Z127" s="99">
        <v>21</v>
      </c>
      <c r="AA127" s="99" t="s">
        <v>972</v>
      </c>
      <c r="AB127" s="99" t="s">
        <v>972</v>
      </c>
      <c r="AC127" s="99" t="s">
        <v>972</v>
      </c>
      <c r="AD127" s="98" t="s">
        <v>181</v>
      </c>
      <c r="AE127" s="100">
        <v>0.2454004329004329</v>
      </c>
      <c r="AF127" s="100">
        <v>0.08</v>
      </c>
      <c r="AG127" s="98">
        <v>622.2943722943722</v>
      </c>
      <c r="AH127" s="98">
        <v>162.33766233766235</v>
      </c>
      <c r="AI127" s="100">
        <v>0.0173</v>
      </c>
      <c r="AJ127" s="100">
        <v>0.814941</v>
      </c>
      <c r="AK127" s="100">
        <v>0.771626</v>
      </c>
      <c r="AL127" s="100">
        <v>0.7964</v>
      </c>
      <c r="AM127" s="100">
        <v>0.664975</v>
      </c>
      <c r="AN127" s="100">
        <v>0.643098</v>
      </c>
      <c r="AO127" s="98">
        <v>2597.4025974025976</v>
      </c>
      <c r="AP127" s="157">
        <v>1.0556999999999999</v>
      </c>
      <c r="AQ127" s="100">
        <v>0.09375</v>
      </c>
      <c r="AR127" s="100">
        <v>0.45</v>
      </c>
      <c r="AS127" s="98">
        <v>514.069264069264</v>
      </c>
      <c r="AT127" s="98">
        <v>514.069264069264</v>
      </c>
      <c r="AU127" s="98" t="s">
        <v>972</v>
      </c>
      <c r="AV127" s="98">
        <v>459.95670995671</v>
      </c>
      <c r="AW127" s="98">
        <v>730.5194805194806</v>
      </c>
      <c r="AX127" s="98">
        <v>297.6190476190476</v>
      </c>
      <c r="AY127" s="98">
        <v>784.6320346320347</v>
      </c>
      <c r="AZ127" s="98">
        <v>568.1818181818181</v>
      </c>
      <c r="BA127" s="100" t="s">
        <v>972</v>
      </c>
      <c r="BB127" s="100" t="s">
        <v>972</v>
      </c>
      <c r="BC127" s="100" t="s">
        <v>972</v>
      </c>
      <c r="BD127" s="157">
        <v>0.8551000000000001</v>
      </c>
      <c r="BE127" s="157">
        <v>1.2892</v>
      </c>
      <c r="BF127" s="161">
        <v>589</v>
      </c>
      <c r="BG127" s="161">
        <v>578</v>
      </c>
      <c r="BH127" s="161">
        <v>889</v>
      </c>
      <c r="BI127" s="161">
        <v>591</v>
      </c>
      <c r="BJ127" s="161">
        <v>297</v>
      </c>
      <c r="BK127" s="97"/>
      <c r="BL127" s="97"/>
      <c r="BM127" s="97"/>
      <c r="BN127" s="97"/>
    </row>
    <row r="128" spans="1:66" ht="12.75">
      <c r="A128" s="79" t="s">
        <v>321</v>
      </c>
      <c r="B128" s="79" t="s">
        <v>114</v>
      </c>
      <c r="C128" s="79" t="s">
        <v>392</v>
      </c>
      <c r="D128" s="99">
        <v>5347</v>
      </c>
      <c r="E128" s="99">
        <v>1513</v>
      </c>
      <c r="F128" s="99" t="s">
        <v>201</v>
      </c>
      <c r="G128" s="99">
        <v>37</v>
      </c>
      <c r="H128" s="99">
        <v>15</v>
      </c>
      <c r="I128" s="99">
        <v>142</v>
      </c>
      <c r="J128" s="99">
        <v>741</v>
      </c>
      <c r="K128" s="99">
        <v>12</v>
      </c>
      <c r="L128" s="99">
        <v>1010</v>
      </c>
      <c r="M128" s="99">
        <v>682</v>
      </c>
      <c r="N128" s="99">
        <v>355</v>
      </c>
      <c r="O128" s="99">
        <v>182</v>
      </c>
      <c r="P128" s="158">
        <v>182</v>
      </c>
      <c r="Q128" s="99">
        <v>25</v>
      </c>
      <c r="R128" s="99">
        <v>50</v>
      </c>
      <c r="S128" s="99">
        <v>26</v>
      </c>
      <c r="T128" s="99">
        <v>20</v>
      </c>
      <c r="U128" s="99" t="s">
        <v>972</v>
      </c>
      <c r="V128" s="99">
        <v>73</v>
      </c>
      <c r="W128" s="99">
        <v>43</v>
      </c>
      <c r="X128" s="99">
        <v>11</v>
      </c>
      <c r="Y128" s="99">
        <v>34</v>
      </c>
      <c r="Z128" s="99">
        <v>40</v>
      </c>
      <c r="AA128" s="99">
        <v>6</v>
      </c>
      <c r="AB128" s="99">
        <v>24</v>
      </c>
      <c r="AC128" s="99">
        <v>7</v>
      </c>
      <c r="AD128" s="98" t="s">
        <v>181</v>
      </c>
      <c r="AE128" s="100">
        <v>0.28296240882737983</v>
      </c>
      <c r="AF128" s="100">
        <v>0.09</v>
      </c>
      <c r="AG128" s="98">
        <v>691.9768094258462</v>
      </c>
      <c r="AH128" s="98">
        <v>280.5311389564242</v>
      </c>
      <c r="AI128" s="100">
        <v>0.026600000000000002</v>
      </c>
      <c r="AJ128" s="100">
        <v>0.786624</v>
      </c>
      <c r="AK128" s="100">
        <v>0.705882</v>
      </c>
      <c r="AL128" s="100">
        <v>0.825838</v>
      </c>
      <c r="AM128" s="100">
        <v>0.724761</v>
      </c>
      <c r="AN128" s="100">
        <v>0.736515</v>
      </c>
      <c r="AO128" s="98">
        <v>3403.7778193379463</v>
      </c>
      <c r="AP128" s="157">
        <v>1.2838</v>
      </c>
      <c r="AQ128" s="100">
        <v>0.13736263736263737</v>
      </c>
      <c r="AR128" s="100">
        <v>0.5</v>
      </c>
      <c r="AS128" s="98">
        <v>486.2539741911352</v>
      </c>
      <c r="AT128" s="98">
        <v>374.0415186085655</v>
      </c>
      <c r="AU128" s="98" t="s">
        <v>972</v>
      </c>
      <c r="AV128" s="98">
        <v>1365.2515429212642</v>
      </c>
      <c r="AW128" s="98">
        <v>804.189265008416</v>
      </c>
      <c r="AX128" s="98">
        <v>205.72283523471106</v>
      </c>
      <c r="AY128" s="98">
        <v>635.8705816345614</v>
      </c>
      <c r="AZ128" s="98">
        <v>748.083037217131</v>
      </c>
      <c r="BA128" s="100">
        <v>0.16216216216216217</v>
      </c>
      <c r="BB128" s="100">
        <v>0.6486486486486487</v>
      </c>
      <c r="BC128" s="100">
        <v>0.1891891891891892</v>
      </c>
      <c r="BD128" s="157">
        <v>1.104</v>
      </c>
      <c r="BE128" s="157">
        <v>1.4844</v>
      </c>
      <c r="BF128" s="161">
        <v>942</v>
      </c>
      <c r="BG128" s="161">
        <v>17</v>
      </c>
      <c r="BH128" s="161">
        <v>1223</v>
      </c>
      <c r="BI128" s="161">
        <v>941</v>
      </c>
      <c r="BJ128" s="161">
        <v>482</v>
      </c>
      <c r="BK128" s="97"/>
      <c r="BL128" s="97"/>
      <c r="BM128" s="97"/>
      <c r="BN128" s="97"/>
    </row>
    <row r="129" spans="1:66" ht="12.75">
      <c r="A129" s="79" t="s">
        <v>335</v>
      </c>
      <c r="B129" s="79" t="s">
        <v>131</v>
      </c>
      <c r="C129" s="79" t="s">
        <v>392</v>
      </c>
      <c r="D129" s="99">
        <v>7225</v>
      </c>
      <c r="E129" s="99">
        <v>1776</v>
      </c>
      <c r="F129" s="99" t="s">
        <v>203</v>
      </c>
      <c r="G129" s="99">
        <v>47</v>
      </c>
      <c r="H129" s="99">
        <v>20</v>
      </c>
      <c r="I129" s="99">
        <v>233</v>
      </c>
      <c r="J129" s="99">
        <v>1067</v>
      </c>
      <c r="K129" s="99">
        <v>284</v>
      </c>
      <c r="L129" s="99">
        <v>1421</v>
      </c>
      <c r="M129" s="99">
        <v>819</v>
      </c>
      <c r="N129" s="99">
        <v>415</v>
      </c>
      <c r="O129" s="99">
        <v>273</v>
      </c>
      <c r="P129" s="158">
        <v>273</v>
      </c>
      <c r="Q129" s="99">
        <v>27</v>
      </c>
      <c r="R129" s="99">
        <v>60</v>
      </c>
      <c r="S129" s="99">
        <v>43</v>
      </c>
      <c r="T129" s="99">
        <v>51</v>
      </c>
      <c r="U129" s="99">
        <v>6</v>
      </c>
      <c r="V129" s="99">
        <v>71</v>
      </c>
      <c r="W129" s="99">
        <v>65</v>
      </c>
      <c r="X129" s="99">
        <v>8</v>
      </c>
      <c r="Y129" s="99">
        <v>39</v>
      </c>
      <c r="Z129" s="99">
        <v>43</v>
      </c>
      <c r="AA129" s="99">
        <v>7</v>
      </c>
      <c r="AB129" s="99">
        <v>22</v>
      </c>
      <c r="AC129" s="99">
        <v>18</v>
      </c>
      <c r="AD129" s="98" t="s">
        <v>181</v>
      </c>
      <c r="AE129" s="100">
        <v>0.24581314878892735</v>
      </c>
      <c r="AF129" s="100">
        <v>0.08</v>
      </c>
      <c r="AG129" s="98">
        <v>650.5190311418685</v>
      </c>
      <c r="AH129" s="98">
        <v>276.8166089965398</v>
      </c>
      <c r="AI129" s="100">
        <v>0.0322</v>
      </c>
      <c r="AJ129" s="100">
        <v>0.855654</v>
      </c>
      <c r="AK129" s="100">
        <v>0.71</v>
      </c>
      <c r="AL129" s="100">
        <v>0.796525</v>
      </c>
      <c r="AM129" s="100">
        <v>0.680233</v>
      </c>
      <c r="AN129" s="100">
        <v>0.669355</v>
      </c>
      <c r="AO129" s="98">
        <v>3778.546712802768</v>
      </c>
      <c r="AP129" s="157">
        <v>1.4972</v>
      </c>
      <c r="AQ129" s="100">
        <v>0.0989010989010989</v>
      </c>
      <c r="AR129" s="100">
        <v>0.45</v>
      </c>
      <c r="AS129" s="98">
        <v>595.1557093425605</v>
      </c>
      <c r="AT129" s="98">
        <v>705.8823529411765</v>
      </c>
      <c r="AU129" s="98">
        <v>83.04498269896193</v>
      </c>
      <c r="AV129" s="98">
        <v>982.6989619377163</v>
      </c>
      <c r="AW129" s="98">
        <v>899.6539792387543</v>
      </c>
      <c r="AX129" s="98">
        <v>110.72664359861592</v>
      </c>
      <c r="AY129" s="98">
        <v>539.7923875432526</v>
      </c>
      <c r="AZ129" s="98">
        <v>595.1557093425605</v>
      </c>
      <c r="BA129" s="100">
        <v>0.14893617021276595</v>
      </c>
      <c r="BB129" s="100">
        <v>0.46808510638297873</v>
      </c>
      <c r="BC129" s="100">
        <v>0.3829787234042553</v>
      </c>
      <c r="BD129" s="157">
        <v>1.3248</v>
      </c>
      <c r="BE129" s="157">
        <v>1.6857</v>
      </c>
      <c r="BF129" s="161">
        <v>1247</v>
      </c>
      <c r="BG129" s="161">
        <v>400</v>
      </c>
      <c r="BH129" s="161">
        <v>1784</v>
      </c>
      <c r="BI129" s="161">
        <v>1204</v>
      </c>
      <c r="BJ129" s="161">
        <v>620</v>
      </c>
      <c r="BK129" s="97"/>
      <c r="BL129" s="97"/>
      <c r="BM129" s="97"/>
      <c r="BN129" s="97"/>
    </row>
    <row r="130" spans="1:66" ht="12.75">
      <c r="A130" s="79" t="s">
        <v>946</v>
      </c>
      <c r="B130" s="94" t="s">
        <v>392</v>
      </c>
      <c r="C130" s="94" t="s">
        <v>7</v>
      </c>
      <c r="D130" s="99">
        <v>901403</v>
      </c>
      <c r="E130" s="99">
        <v>186213</v>
      </c>
      <c r="F130" s="99">
        <v>109621.50999999994</v>
      </c>
      <c r="G130" s="99">
        <v>5230</v>
      </c>
      <c r="H130" s="99">
        <v>2559</v>
      </c>
      <c r="I130" s="99">
        <v>18778</v>
      </c>
      <c r="J130" s="99">
        <v>93888</v>
      </c>
      <c r="K130" s="99">
        <v>37605</v>
      </c>
      <c r="L130" s="99">
        <v>162540</v>
      </c>
      <c r="M130" s="99">
        <v>72670</v>
      </c>
      <c r="N130" s="99">
        <v>35907</v>
      </c>
      <c r="O130" s="99">
        <v>23450</v>
      </c>
      <c r="P130" s="99">
        <v>23450</v>
      </c>
      <c r="Q130" s="99">
        <v>2655</v>
      </c>
      <c r="R130" s="99">
        <v>5307</v>
      </c>
      <c r="S130" s="99">
        <v>4066</v>
      </c>
      <c r="T130" s="99">
        <v>4183</v>
      </c>
      <c r="U130" s="99">
        <v>793</v>
      </c>
      <c r="V130" s="99">
        <v>4464</v>
      </c>
      <c r="W130" s="99">
        <v>6744</v>
      </c>
      <c r="X130" s="99">
        <v>3011</v>
      </c>
      <c r="Y130" s="99">
        <v>8144</v>
      </c>
      <c r="Z130" s="99">
        <v>5543</v>
      </c>
      <c r="AA130" s="99">
        <v>1090</v>
      </c>
      <c r="AB130" s="99">
        <v>2593</v>
      </c>
      <c r="AC130" s="99">
        <v>1316</v>
      </c>
      <c r="AD130" s="98">
        <v>0</v>
      </c>
      <c r="AE130" s="101">
        <v>0.20658129604627454</v>
      </c>
      <c r="AF130" s="101">
        <v>0.1216120980294052</v>
      </c>
      <c r="AG130" s="98">
        <v>580.2066334369865</v>
      </c>
      <c r="AH130" s="98">
        <v>283.8907791520552</v>
      </c>
      <c r="AI130" s="101">
        <v>0.02083196971831689</v>
      </c>
      <c r="AJ130" s="101">
        <v>0.7693656633861332</v>
      </c>
      <c r="AK130" s="101">
        <v>0.7773804109645678</v>
      </c>
      <c r="AL130" s="101">
        <v>0.7794262916111212</v>
      </c>
      <c r="AM130" s="101">
        <v>0.6275745930307872</v>
      </c>
      <c r="AN130" s="101">
        <v>0.6145196898906402</v>
      </c>
      <c r="AO130" s="98">
        <v>2601.5001059459532</v>
      </c>
      <c r="AP130" s="98">
        <v>0</v>
      </c>
      <c r="AQ130" s="101">
        <v>0.11321961620469083</v>
      </c>
      <c r="AR130" s="101">
        <v>0.5002826455624647</v>
      </c>
      <c r="AS130" s="98">
        <v>451.0746025917376</v>
      </c>
      <c r="AT130" s="98">
        <v>464.05436857876</v>
      </c>
      <c r="AU130" s="98">
        <v>87.97396946759662</v>
      </c>
      <c r="AV130" s="98">
        <v>495.22799458177974</v>
      </c>
      <c r="AW130" s="98">
        <v>748.1670240724737</v>
      </c>
      <c r="AX130" s="98">
        <v>334.03483236687697</v>
      </c>
      <c r="AY130" s="98">
        <v>903.4804632334261</v>
      </c>
      <c r="AZ130" s="98">
        <v>614.9302809065424</v>
      </c>
      <c r="BA130" s="101">
        <v>0.21804360872174436</v>
      </c>
      <c r="BB130" s="101">
        <v>0.5187037407481496</v>
      </c>
      <c r="BC130" s="101">
        <v>0.26325265053010605</v>
      </c>
      <c r="BD130" s="98">
        <v>0</v>
      </c>
      <c r="BE130" s="98">
        <v>0</v>
      </c>
      <c r="BF130" s="99">
        <v>122033</v>
      </c>
      <c r="BG130" s="99">
        <v>48374</v>
      </c>
      <c r="BH130" s="99">
        <v>208538</v>
      </c>
      <c r="BI130" s="99">
        <v>115795</v>
      </c>
      <c r="BJ130" s="99">
        <v>58431</v>
      </c>
      <c r="BK130" s="97"/>
      <c r="BL130" s="97"/>
      <c r="BM130" s="97"/>
      <c r="BN130" s="97"/>
    </row>
    <row r="131" spans="1:66" ht="12.75">
      <c r="A131" s="79" t="s">
        <v>24</v>
      </c>
      <c r="B131" s="94" t="s">
        <v>7</v>
      </c>
      <c r="C131" s="94" t="s">
        <v>7</v>
      </c>
      <c r="D131" s="99">
        <v>55165362</v>
      </c>
      <c r="E131" s="99">
        <v>9048994</v>
      </c>
      <c r="F131" s="99">
        <v>8305264.179999999</v>
      </c>
      <c r="G131" s="99">
        <v>259770</v>
      </c>
      <c r="H131" s="99">
        <v>128954</v>
      </c>
      <c r="I131" s="99">
        <v>978426</v>
      </c>
      <c r="J131" s="99">
        <v>4727163</v>
      </c>
      <c r="K131" s="99">
        <v>1693161</v>
      </c>
      <c r="L131" s="99">
        <v>10175535</v>
      </c>
      <c r="M131" s="99">
        <v>3358821</v>
      </c>
      <c r="N131" s="99">
        <v>1654961</v>
      </c>
      <c r="O131" s="99">
        <v>1093346</v>
      </c>
      <c r="P131" s="99">
        <v>1093346</v>
      </c>
      <c r="Q131" s="99">
        <v>115539</v>
      </c>
      <c r="R131" s="99">
        <v>248587</v>
      </c>
      <c r="S131" s="99">
        <v>205061</v>
      </c>
      <c r="T131" s="99">
        <v>184806</v>
      </c>
      <c r="U131" s="99">
        <v>42802</v>
      </c>
      <c r="V131" s="99">
        <v>192402</v>
      </c>
      <c r="W131" s="99">
        <v>343839</v>
      </c>
      <c r="X131" s="99">
        <v>238616</v>
      </c>
      <c r="Y131" s="99">
        <v>553576</v>
      </c>
      <c r="Z131" s="99">
        <v>323780</v>
      </c>
      <c r="AA131" s="99">
        <v>58003</v>
      </c>
      <c r="AB131" s="99">
        <v>120283</v>
      </c>
      <c r="AC131" s="99">
        <v>66239</v>
      </c>
      <c r="AD131" s="98">
        <v>0</v>
      </c>
      <c r="AE131" s="101">
        <v>0.16403398204837302</v>
      </c>
      <c r="AF131" s="101">
        <v>0.1505521558981159</v>
      </c>
      <c r="AG131" s="98">
        <v>470.8933116400106</v>
      </c>
      <c r="AH131" s="98">
        <v>233.75900261472046</v>
      </c>
      <c r="AI131" s="101">
        <v>0.017736238185113332</v>
      </c>
      <c r="AJ131" s="101">
        <v>0.7246856648259642</v>
      </c>
      <c r="AK131" s="101">
        <v>0.7425503147315781</v>
      </c>
      <c r="AL131" s="101">
        <v>0.7530641252748632</v>
      </c>
      <c r="AM131" s="101">
        <v>0.5744521249276766</v>
      </c>
      <c r="AN131" s="101">
        <v>0.5565049054289257</v>
      </c>
      <c r="AO131" s="98">
        <v>1981.9429445600304</v>
      </c>
      <c r="AP131" s="98">
        <v>1</v>
      </c>
      <c r="AQ131" s="101">
        <v>0.10567469035419712</v>
      </c>
      <c r="AR131" s="101">
        <v>0.46478295325177904</v>
      </c>
      <c r="AS131" s="98">
        <v>371.7205735004512</v>
      </c>
      <c r="AT131" s="98">
        <v>335.00369307827617</v>
      </c>
      <c r="AU131" s="98">
        <v>77.58854188249504</v>
      </c>
      <c r="AV131" s="98">
        <v>348.7732030109763</v>
      </c>
      <c r="AW131" s="98">
        <v>623.2878522577265</v>
      </c>
      <c r="AX131" s="98">
        <v>432.5467854266958</v>
      </c>
      <c r="AY131" s="98">
        <v>1003.4847591501348</v>
      </c>
      <c r="AZ131" s="98">
        <v>586.9262672471904</v>
      </c>
      <c r="BA131" s="101">
        <v>0.2372068295675289</v>
      </c>
      <c r="BB131" s="101">
        <v>0.4919047132195072</v>
      </c>
      <c r="BC131" s="101">
        <v>0.2708884572129639</v>
      </c>
      <c r="BD131" s="98">
        <v>0</v>
      </c>
      <c r="BE131" s="98">
        <v>0</v>
      </c>
      <c r="BF131" s="99">
        <v>6523053</v>
      </c>
      <c r="BG131" s="99">
        <v>2280197</v>
      </c>
      <c r="BH131" s="99">
        <v>13512176</v>
      </c>
      <c r="BI131" s="99">
        <v>5846999</v>
      </c>
      <c r="BJ131" s="99">
        <v>2973848</v>
      </c>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229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186</v>
      </c>
      <c r="O4" s="75" t="s">
        <v>185</v>
      </c>
      <c r="P4" s="75" t="s">
        <v>236</v>
      </c>
      <c r="Q4" s="75" t="s">
        <v>237</v>
      </c>
      <c r="R4" s="75" t="s">
        <v>238</v>
      </c>
      <c r="S4" s="75" t="s">
        <v>239</v>
      </c>
      <c r="T4" s="39" t="s">
        <v>53</v>
      </c>
      <c r="U4" s="40" t="s">
        <v>54</v>
      </c>
      <c r="V4" s="41" t="s">
        <v>7</v>
      </c>
      <c r="W4" s="24" t="s">
        <v>2</v>
      </c>
      <c r="X4" s="24" t="s">
        <v>3</v>
      </c>
      <c r="Y4" s="75" t="s">
        <v>382</v>
      </c>
      <c r="Z4" s="75" t="s">
        <v>381</v>
      </c>
      <c r="AA4" s="26" t="s">
        <v>55</v>
      </c>
      <c r="AB4" s="24" t="s">
        <v>5</v>
      </c>
      <c r="AC4" s="75" t="s">
        <v>35</v>
      </c>
      <c r="AD4" s="24" t="s">
        <v>6</v>
      </c>
      <c r="AE4" s="24" t="s">
        <v>56</v>
      </c>
      <c r="AF4" s="24" t="s">
        <v>16</v>
      </c>
      <c r="AG4" s="24" t="s">
        <v>15</v>
      </c>
      <c r="AH4" s="24" t="s">
        <v>14</v>
      </c>
      <c r="AI4" s="25" t="s">
        <v>30</v>
      </c>
      <c r="AJ4" s="47" t="s">
        <v>10</v>
      </c>
      <c r="AK4" s="26" t="s">
        <v>21</v>
      </c>
      <c r="AL4" s="25" t="s">
        <v>22</v>
      </c>
      <c r="AQ4" s="102" t="s">
        <v>226</v>
      </c>
      <c r="AR4" s="102" t="s">
        <v>228</v>
      </c>
      <c r="AS4" s="102" t="s">
        <v>227</v>
      </c>
      <c r="AY4" s="102" t="s">
        <v>948</v>
      </c>
      <c r="AZ4" s="102" t="s">
        <v>949</v>
      </c>
      <c r="BA4" s="102" t="s">
        <v>235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552</v>
      </c>
      <c r="AZ5" s="103" t="s">
        <v>737</v>
      </c>
      <c r="BA5" s="103" t="s">
        <v>181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551</v>
      </c>
      <c r="AZ6" s="103" t="s">
        <v>738</v>
      </c>
      <c r="BA6" s="103" t="s">
        <v>181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3493</v>
      </c>
      <c r="E7" s="38">
        <f>IF(LEFT(VLOOKUP($B7,'Indicator chart'!$D$1:$J$36,5,FALSE),1)=" "," ",VLOOKUP($B7,'Indicator chart'!$D$1:$J$36,5,FALSE))</f>
        <v>0.23931214031241435</v>
      </c>
      <c r="F7" s="38">
        <f>IF(LEFT(VLOOKUP($B7,'Indicator chart'!$D$1:$J$36,6,FALSE),1)=" "," ",VLOOKUP($B7,'Indicator chart'!$D$1:$J$36,6,FALSE))</f>
        <v>0.23245941398537376</v>
      </c>
      <c r="G7" s="38">
        <f>IF(LEFT(VLOOKUP($B7,'Indicator chart'!$D$1:$J$36,7,FALSE),1)=" "," ",VLOOKUP($B7,'Indicator chart'!$D$1:$J$36,7,FALSE))</f>
        <v>0.24630205422124019</v>
      </c>
      <c r="H7" s="50">
        <f aca="true" t="shared" si="0" ref="H7:H31">IF(LEFT(F7,1)=" ",4,IF(AND(ABS(N7-E7)&gt;SQRT((E7-G7)^2+(N7-R7)^2),E7&lt;N7),1,IF(AND(ABS(N7-E7)&gt;SQRT((E7-F7)^2+(N7-S7)^2),E7&gt;N7),3,2)))</f>
        <v>3</v>
      </c>
      <c r="I7" s="300" t="s">
        <v>644</v>
      </c>
      <c r="J7" s="300" t="s">
        <v>656</v>
      </c>
      <c r="K7" s="300" t="s">
        <v>677</v>
      </c>
      <c r="L7" s="300" t="s">
        <v>697</v>
      </c>
      <c r="M7" s="300" t="s">
        <v>719</v>
      </c>
      <c r="N7" s="80">
        <f>VLOOKUP('Hide - Control'!B$3,'All practice data'!A:CA,A7+29,FALSE)</f>
        <v>0.20658129604627454</v>
      </c>
      <c r="O7" s="80">
        <f>VLOOKUP('Hide - Control'!C$3,'All practice data'!A:CA,A7+29,FALSE)</f>
        <v>0.16403398204837302</v>
      </c>
      <c r="P7" s="38">
        <f>VLOOKUP('Hide - Control'!$B$4,'All practice data'!B:BC,A7+2,FALSE)</f>
        <v>186213</v>
      </c>
      <c r="Q7" s="38">
        <f>VLOOKUP('Hide - Control'!$B$4,'All practice data'!B:BC,3,FALSE)</f>
        <v>901403</v>
      </c>
      <c r="R7" s="38">
        <f>+((2*P7+1.96^2-1.96*SQRT(1.96^2+4*P7*(1-P7/Q7)))/(2*(Q7+1.96^2)))</f>
        <v>0.20574676485084895</v>
      </c>
      <c r="S7" s="38">
        <f>+((2*P7+1.96^2+1.96*SQRT(1.96^2+4*P7*(1-P7/Q7)))/(2*(Q7+1.96^2)))</f>
        <v>0.20741832821515865</v>
      </c>
      <c r="T7" s="53" t="str">
        <f>IF($C7=1,M7,I7)</f>
        <v>0.396630078</v>
      </c>
      <c r="U7" s="51" t="str">
        <f aca="true" t="shared" si="1" ref="U7:U15">IF($C7=1,I7,M7)</f>
        <v>0.059668924</v>
      </c>
      <c r="V7" s="7">
        <v>1</v>
      </c>
      <c r="W7" s="27">
        <f aca="true" t="shared" si="2" ref="W7:W31">IF((K7-I7)&gt;(M7-K7),I7,(K7-(M7-K7)))</f>
        <v>0.030789112000000007</v>
      </c>
      <c r="X7" s="27" t="str">
        <f aca="true" t="shared" si="3" ref="X7:X31">IF(W7=I7,K7+(K7-I7),M7)</f>
        <v>0.396630078</v>
      </c>
      <c r="Y7" s="27">
        <f aca="true" t="shared" si="4" ref="Y7:Y31">IF(C7=1,W7,X7)</f>
        <v>0.030789112000000007</v>
      </c>
      <c r="Z7" s="27" t="str">
        <f aca="true" t="shared" si="5" ref="Z7:Z31">IF(C7=1,X7,W7)</f>
        <v>0.396630078</v>
      </c>
      <c r="AA7" s="32">
        <f aca="true" t="shared" si="6" ref="AA7:AA31">IF(ISERROR(IF(C7=1,(I7-$Y7)/($Z7-$Y7),(U7-$Y7)/($Z7-$Y7))),"",IF(C7=1,(I7-$Y7)/($Z7-$Y7),(U7-$Y7)/($Z7-$Y7)))</f>
        <v>0.07894089149108575</v>
      </c>
      <c r="AB7" s="33">
        <f aca="true" t="shared" si="7" ref="AB7:AB31">IF(ISERROR(IF(C7=1,(J7-$Y7)/($Z7-$Y7),(L7-$Y7)/($Z7-$Y7))),"",IF(C7=1,(J7-$Y7)/($Z7-$Y7),(L7-$Y7)/($Z7-$Y7)))</f>
        <v>0.3586686024659141</v>
      </c>
      <c r="AC7" s="33">
        <v>0.5</v>
      </c>
      <c r="AD7" s="33">
        <f aca="true" t="shared" si="8" ref="AD7:AD31">IF(ISERROR(IF(C7=1,(L7-$Y7)/($Z7-$Y7),(J7-$Y7)/($Z7-$Y7))),"",IF(C7=1,(L7-$Y7)/($Z7-$Y7),(J7-$Y7)/($Z7-$Y7)))</f>
        <v>0.5874707262827422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0.569982718426384</v>
      </c>
      <c r="AI7" s="34">
        <f aca="true" t="shared" si="13" ref="AI7:AI31">IF(ISERROR((O7-$Y7)/($Z7-$Y7)),-999,(O7-$Y7)/($Z7-$Y7))</f>
        <v>0.3642152804953315</v>
      </c>
      <c r="AJ7" s="4">
        <v>2.7020512924389086</v>
      </c>
      <c r="AK7" s="32">
        <f aca="true" t="shared" si="14" ref="AK7:AK31">IF(H7=1,(E7-$Y7)/($Z7-$Y7),-999)</f>
        <v>-999</v>
      </c>
      <c r="AL7" s="34">
        <f aca="true" t="shared" si="15" ref="AL7:AL31">IF(H7=3,(E7-$Y7)/($Z7-$Y7),-999)</f>
        <v>0.569982718426384</v>
      </c>
      <c r="AQ7" s="103">
        <v>2</v>
      </c>
      <c r="AR7" s="103">
        <v>0.2422</v>
      </c>
      <c r="AS7" s="103">
        <v>7.2247</v>
      </c>
      <c r="AY7" s="103" t="s">
        <v>542</v>
      </c>
      <c r="AZ7" s="103" t="s">
        <v>739</v>
      </c>
      <c r="BA7" s="103" t="s">
        <v>181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0.10502614600628737</v>
      </c>
      <c r="G8" s="38">
        <f>IF(LEFT(VLOOKUP($B8,'Indicator chart'!$D$1:$J$36,7,FALSE),1)=" "," ",VLOOKUP($B8,'Indicator chart'!$D$1:$J$36,7,FALSE))</f>
        <v>0.11517909238479217</v>
      </c>
      <c r="H8" s="50">
        <f t="shared" si="0"/>
        <v>1</v>
      </c>
      <c r="I8" s="300" t="s">
        <v>630</v>
      </c>
      <c r="J8" s="300" t="s">
        <v>631</v>
      </c>
      <c r="K8" s="300" t="s">
        <v>633</v>
      </c>
      <c r="L8" s="300" t="s">
        <v>622</v>
      </c>
      <c r="M8" s="300" t="s">
        <v>636</v>
      </c>
      <c r="N8" s="80">
        <f>VLOOKUP('Hide - Control'!B$3,'All practice data'!A:CA,A8+29,FALSE)</f>
        <v>0.1216120980294052</v>
      </c>
      <c r="O8" s="80">
        <f>VLOOKUP('Hide - Control'!C$3,'All practice data'!A:CA,A8+29,FALSE)</f>
        <v>0.1505521558981159</v>
      </c>
      <c r="P8" s="38">
        <f>VLOOKUP('Hide - Control'!$B$4,'All practice data'!B:BC,A8+2,FALSE)</f>
        <v>109621.50999999994</v>
      </c>
      <c r="Q8" s="38">
        <f>VLOOKUP('Hide - Control'!$B$4,'All practice data'!B:BC,3,FALSE)</f>
        <v>901403</v>
      </c>
      <c r="R8" s="38">
        <f>+((2*P8+1.96^2-1.96*SQRT(1.96^2+4*P8*(1-P8/Q8)))/(2*(Q8+1.96^2)))</f>
        <v>0.12093898307601704</v>
      </c>
      <c r="S8" s="38">
        <f>+((2*P8+1.96^2+1.96*SQRT(1.96^2+4*P8*(1-P8/Q8)))/(2*(Q8+1.96^2)))</f>
        <v>0.12228843819675254</v>
      </c>
      <c r="T8" s="53" t="str">
        <f aca="true" t="shared" si="16" ref="T8:T15">IF($C8=1,M8,I8)</f>
        <v>0.34</v>
      </c>
      <c r="U8" s="51" t="str">
        <f t="shared" si="1"/>
        <v>0.06</v>
      </c>
      <c r="V8" s="7"/>
      <c r="W8" s="27">
        <f t="shared" si="2"/>
        <v>-0.12000000000000004</v>
      </c>
      <c r="X8" s="27" t="str">
        <f t="shared" si="3"/>
        <v>0.34</v>
      </c>
      <c r="Y8" s="27">
        <f t="shared" si="4"/>
        <v>-0.12000000000000004</v>
      </c>
      <c r="Z8" s="27" t="str">
        <f t="shared" si="5"/>
        <v>0.34</v>
      </c>
      <c r="AA8" s="32">
        <f t="shared" si="6"/>
        <v>0.391304347826087</v>
      </c>
      <c r="AB8" s="33">
        <f t="shared" si="7"/>
        <v>0.45652173913043476</v>
      </c>
      <c r="AC8" s="33">
        <v>0.5</v>
      </c>
      <c r="AD8" s="33">
        <f t="shared" si="8"/>
        <v>0.5652173913043479</v>
      </c>
      <c r="AE8" s="33">
        <f t="shared" si="9"/>
        <v>1</v>
      </c>
      <c r="AF8" s="33">
        <f t="shared" si="10"/>
        <v>-999</v>
      </c>
      <c r="AG8" s="33">
        <f t="shared" si="11"/>
        <v>-999</v>
      </c>
      <c r="AH8" s="33">
        <f t="shared" si="12"/>
        <v>0.5</v>
      </c>
      <c r="AI8" s="34">
        <f t="shared" si="13"/>
        <v>0.588156860648078</v>
      </c>
      <c r="AJ8" s="4">
        <v>3.778046717820832</v>
      </c>
      <c r="AK8" s="32">
        <f t="shared" si="14"/>
        <v>0.5</v>
      </c>
      <c r="AL8" s="34">
        <f t="shared" si="15"/>
        <v>-999</v>
      </c>
      <c r="AQ8" s="103">
        <v>3</v>
      </c>
      <c r="AR8" s="103">
        <v>0.6187</v>
      </c>
      <c r="AS8" s="103">
        <v>8.7673</v>
      </c>
      <c r="AY8" s="103" t="s">
        <v>554</v>
      </c>
      <c r="AZ8" s="103" t="s">
        <v>740</v>
      </c>
      <c r="BA8" s="103" t="s">
        <v>181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64</v>
      </c>
      <c r="E9" s="38">
        <f>IF(LEFT(VLOOKUP($B9,'Indicator chart'!$D$1:$J$36,5,FALSE),1)=" "," ",VLOOKUP($B9,'Indicator chart'!$D$1:$J$36,5,FALSE))</f>
        <v>438.4762948753083</v>
      </c>
      <c r="F9" s="38">
        <f>IF(LEFT(VLOOKUP($B9,'Indicator chart'!$D$1:$J$36,6,FALSE),1)=" "," ",VLOOKUP($B9,'Indicator chart'!$D$1:$J$36,6,FALSE))</f>
        <v>337.6616431990722</v>
      </c>
      <c r="G9" s="38">
        <f>IF(LEFT(VLOOKUP($B9,'Indicator chart'!$D$1:$J$36,7,FALSE),1)=" "," ",VLOOKUP($B9,'Indicator chart'!$D$1:$J$36,7,FALSE))</f>
        <v>559.935719725189</v>
      </c>
      <c r="H9" s="50">
        <f t="shared" si="0"/>
        <v>1</v>
      </c>
      <c r="I9" s="300" t="s">
        <v>645</v>
      </c>
      <c r="J9" s="300" t="s">
        <v>657</v>
      </c>
      <c r="K9" s="300" t="s">
        <v>678</v>
      </c>
      <c r="L9" s="300" t="s">
        <v>698</v>
      </c>
      <c r="M9" s="300" t="s">
        <v>720</v>
      </c>
      <c r="N9" s="80">
        <f>VLOOKUP('Hide - Control'!B$3,'All practice data'!A:CA,A9+29,FALSE)</f>
        <v>580.2066334369865</v>
      </c>
      <c r="O9" s="80">
        <f>VLOOKUP('Hide - Control'!C$3,'All practice data'!A:CA,A9+29,FALSE)</f>
        <v>470.8933116400106</v>
      </c>
      <c r="P9" s="38">
        <f>VLOOKUP('Hide - Control'!$B$4,'All practice data'!B:BC,A9+2,FALSE)</f>
        <v>5230</v>
      </c>
      <c r="Q9" s="38">
        <f>VLOOKUP('Hide - Control'!$B$4,'All practice data'!B:BC,3,FALSE)</f>
        <v>901403</v>
      </c>
      <c r="R9" s="38">
        <f>100000*(P9*(1-1/(9*P9)-1.96/(3*SQRT(P9)))^3)/Q9</f>
        <v>564.5870513065811</v>
      </c>
      <c r="S9" s="38">
        <f>100000*((P9+1)*(1-1/(9*(P9+1))+1.96/(3*SQRT(P9+1)))^3)/Q9</f>
        <v>596.1488138323125</v>
      </c>
      <c r="T9" s="53" t="str">
        <f t="shared" si="16"/>
        <v>1048.731035</v>
      </c>
      <c r="U9" s="51" t="str">
        <f t="shared" si="1"/>
        <v>170.2932829</v>
      </c>
      <c r="V9" s="7"/>
      <c r="W9" s="27">
        <f t="shared" si="2"/>
        <v>116.23164919999999</v>
      </c>
      <c r="X9" s="27" t="str">
        <f t="shared" si="3"/>
        <v>1048.731035</v>
      </c>
      <c r="Y9" s="27">
        <f t="shared" si="4"/>
        <v>116.23164919999999</v>
      </c>
      <c r="Z9" s="27" t="str">
        <f t="shared" si="5"/>
        <v>1048.731035</v>
      </c>
      <c r="AA9" s="32">
        <f t="shared" si="6"/>
        <v>0.05797498049140271</v>
      </c>
      <c r="AB9" s="33">
        <f t="shared" si="7"/>
        <v>0.39740998336644695</v>
      </c>
      <c r="AC9" s="33">
        <v>0.5</v>
      </c>
      <c r="AD9" s="33">
        <f t="shared" si="8"/>
        <v>0.6382117250291062</v>
      </c>
      <c r="AE9" s="33">
        <f t="shared" si="9"/>
        <v>1</v>
      </c>
      <c r="AF9" s="33">
        <f t="shared" si="10"/>
        <v>-999</v>
      </c>
      <c r="AG9" s="33">
        <f t="shared" si="11"/>
        <v>-999</v>
      </c>
      <c r="AH9" s="33">
        <f t="shared" si="12"/>
        <v>0.34557089321710555</v>
      </c>
      <c r="AI9" s="34">
        <f t="shared" si="13"/>
        <v>0.38033447296669587</v>
      </c>
      <c r="AJ9" s="4">
        <v>4.854042143202755</v>
      </c>
      <c r="AK9" s="32">
        <f t="shared" si="14"/>
        <v>0.34557089321710555</v>
      </c>
      <c r="AL9" s="34">
        <f t="shared" si="15"/>
        <v>-999</v>
      </c>
      <c r="AQ9" s="103">
        <v>4</v>
      </c>
      <c r="AR9" s="103">
        <v>1.0899</v>
      </c>
      <c r="AS9" s="103">
        <v>10.2416</v>
      </c>
      <c r="AY9" s="103" t="s">
        <v>487</v>
      </c>
      <c r="AZ9" s="103" t="s">
        <v>741</v>
      </c>
      <c r="BA9" s="103" t="s">
        <v>181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44</v>
      </c>
      <c r="E10" s="38">
        <f>IF(LEFT(VLOOKUP($B10,'Indicator chart'!$D$1:$J$36,5,FALSE),1)=" "," ",VLOOKUP($B10,'Indicator chart'!$D$1:$J$36,5,FALSE))</f>
        <v>301.4524527267745</v>
      </c>
      <c r="F10" s="38">
        <f>IF(LEFT(VLOOKUP($B10,'Indicator chart'!$D$1:$J$36,6,FALSE),1)=" "," ",VLOOKUP($B10,'Indicator chart'!$D$1:$J$36,6,FALSE))</f>
        <v>219.01326573262085</v>
      </c>
      <c r="G10" s="38">
        <f>IF(LEFT(VLOOKUP($B10,'Indicator chart'!$D$1:$J$36,7,FALSE),1)=" "," ",VLOOKUP($B10,'Indicator chart'!$D$1:$J$36,7,FALSE))</f>
        <v>404.69761149822125</v>
      </c>
      <c r="H10" s="50">
        <f t="shared" si="0"/>
        <v>2</v>
      </c>
      <c r="I10" s="300" t="s">
        <v>625</v>
      </c>
      <c r="J10" s="300" t="s">
        <v>658</v>
      </c>
      <c r="K10" s="300" t="s">
        <v>679</v>
      </c>
      <c r="L10" s="300" t="s">
        <v>699</v>
      </c>
      <c r="M10" s="300" t="s">
        <v>721</v>
      </c>
      <c r="N10" s="80">
        <f>VLOOKUP('Hide - Control'!B$3,'All practice data'!A:CA,A10+29,FALSE)</f>
        <v>283.8907791520552</v>
      </c>
      <c r="O10" s="80">
        <f>VLOOKUP('Hide - Control'!C$3,'All practice data'!A:CA,A10+29,FALSE)</f>
        <v>233.75900261472046</v>
      </c>
      <c r="P10" s="38">
        <f>VLOOKUP('Hide - Control'!$B$4,'All practice data'!B:BC,A10+2,FALSE)</f>
        <v>2559</v>
      </c>
      <c r="Q10" s="38">
        <f>VLOOKUP('Hide - Control'!$B$4,'All practice data'!B:BC,3,FALSE)</f>
        <v>901403</v>
      </c>
      <c r="R10" s="38">
        <f>100000*(P10*(1-1/(9*P10)-1.96/(3*SQRT(P10)))^3)/Q10</f>
        <v>272.9967172781633</v>
      </c>
      <c r="S10" s="38">
        <f>100000*((P10+1)*(1-1/(9*(P10+1))+1.96/(3*SQRT(P10+1)))^3)/Q10</f>
        <v>295.1080803771284</v>
      </c>
      <c r="T10" s="53" t="str">
        <f t="shared" si="16"/>
        <v>538.4615385</v>
      </c>
      <c r="U10" s="51" t="str">
        <f t="shared" si="1"/>
        <v>61.6589</v>
      </c>
      <c r="V10" s="7"/>
      <c r="W10" s="27">
        <f t="shared" si="2"/>
        <v>27.448291900000072</v>
      </c>
      <c r="X10" s="27" t="str">
        <f t="shared" si="3"/>
        <v>538.4615385</v>
      </c>
      <c r="Y10" s="27">
        <f t="shared" si="4"/>
        <v>27.448291900000072</v>
      </c>
      <c r="Z10" s="27" t="str">
        <f t="shared" si="5"/>
        <v>538.4615385</v>
      </c>
      <c r="AA10" s="32">
        <f t="shared" si="6"/>
        <v>0.06694661699597503</v>
      </c>
      <c r="AB10" s="33">
        <f t="shared" si="7"/>
        <v>0.4055340552888125</v>
      </c>
      <c r="AC10" s="33">
        <v>0.5</v>
      </c>
      <c r="AD10" s="33">
        <f t="shared" si="8"/>
        <v>0.6166076114395582</v>
      </c>
      <c r="AE10" s="33">
        <f t="shared" si="9"/>
        <v>1</v>
      </c>
      <c r="AF10" s="33">
        <f t="shared" si="10"/>
        <v>-999</v>
      </c>
      <c r="AG10" s="33">
        <f t="shared" si="11"/>
        <v>0.5361977652239875</v>
      </c>
      <c r="AH10" s="33">
        <f t="shared" si="12"/>
        <v>-999</v>
      </c>
      <c r="AI10" s="34">
        <f t="shared" si="13"/>
        <v>0.40372869409432727</v>
      </c>
      <c r="AJ10" s="4">
        <v>5.930037568584676</v>
      </c>
      <c r="AK10" s="32">
        <f t="shared" si="14"/>
        <v>-999</v>
      </c>
      <c r="AL10" s="34">
        <f t="shared" si="15"/>
        <v>-999</v>
      </c>
      <c r="AY10" s="103" t="s">
        <v>553</v>
      </c>
      <c r="AZ10" s="103" t="s">
        <v>742</v>
      </c>
      <c r="BA10" s="103" t="s">
        <v>181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366</v>
      </c>
      <c r="E11" s="38">
        <f>IF(LEFT(VLOOKUP($B11,'Indicator chart'!$D$1:$J$36,5,FALSE),1)=" "," ",VLOOKUP($B11,'Indicator chart'!$D$1:$J$36,5,FALSE))</f>
        <v>0.025099999999999997</v>
      </c>
      <c r="F11" s="38">
        <f>IF(LEFT(VLOOKUP($B11,'Indicator chart'!$D$1:$J$36,6,FALSE),1)=" "," ",VLOOKUP($B11,'Indicator chart'!$D$1:$J$36,6,FALSE))</f>
        <v>0.022661006833821173</v>
      </c>
      <c r="G11" s="38">
        <f>IF(LEFT(VLOOKUP($B11,'Indicator chart'!$D$1:$J$36,7,FALSE),1)=" "," ",VLOOKUP($B11,'Indicator chart'!$D$1:$J$36,7,FALSE))</f>
        <v>0.027739649567820882</v>
      </c>
      <c r="H11" s="50">
        <f t="shared" si="0"/>
        <v>3</v>
      </c>
      <c r="I11" s="300" t="s">
        <v>643</v>
      </c>
      <c r="J11" s="300" t="s">
        <v>638</v>
      </c>
      <c r="K11" s="300" t="s">
        <v>637</v>
      </c>
      <c r="L11" s="300" t="s">
        <v>700</v>
      </c>
      <c r="M11" s="300" t="s">
        <v>722</v>
      </c>
      <c r="N11" s="80">
        <f>VLOOKUP('Hide - Control'!B$3,'All practice data'!A:CA,A11+29,FALSE)</f>
        <v>0.02083196971831689</v>
      </c>
      <c r="O11" s="80">
        <f>VLOOKUP('Hide - Control'!C$3,'All practice data'!A:CA,A11+29,FALSE)</f>
        <v>0.017736238185113332</v>
      </c>
      <c r="P11" s="38">
        <f>VLOOKUP('Hide - Control'!$B$4,'All practice data'!B:BC,A11+2,FALSE)</f>
        <v>18778</v>
      </c>
      <c r="Q11" s="38">
        <f>VLOOKUP('Hide - Control'!$B$4,'All practice data'!B:BC,3,FALSE)</f>
        <v>901403</v>
      </c>
      <c r="R11" s="80">
        <f aca="true" t="shared" si="17" ref="R11:R16">+((2*P11+1.96^2-1.96*SQRT(1.96^2+4*P11*(1-P11/Q11)))/(2*(Q11+1.96^2)))</f>
        <v>0.02053916270324339</v>
      </c>
      <c r="S11" s="80">
        <f aca="true" t="shared" si="18" ref="S11:S16">+((2*P11+1.96^2+1.96*SQRT(1.96^2+4*P11*(1-P11/Q11)))/(2*(Q11+1.96^2)))</f>
        <v>0.021128860953345638</v>
      </c>
      <c r="T11" s="53" t="str">
        <f t="shared" si="16"/>
        <v>0.044</v>
      </c>
      <c r="U11" s="51" t="str">
        <f t="shared" si="1"/>
        <v>0.0064</v>
      </c>
      <c r="V11" s="7"/>
      <c r="W11" s="27">
        <f t="shared" si="2"/>
        <v>-0.001799999999999996</v>
      </c>
      <c r="X11" s="27" t="str">
        <f t="shared" si="3"/>
        <v>0.044</v>
      </c>
      <c r="Y11" s="27">
        <f t="shared" si="4"/>
        <v>-0.001799999999999996</v>
      </c>
      <c r="Z11" s="27" t="str">
        <f t="shared" si="5"/>
        <v>0.044</v>
      </c>
      <c r="AA11" s="32">
        <f t="shared" si="6"/>
        <v>0.17903930131004359</v>
      </c>
      <c r="AB11" s="33">
        <f t="shared" si="7"/>
        <v>0.4279475982532751</v>
      </c>
      <c r="AC11" s="33">
        <v>0.5</v>
      </c>
      <c r="AD11" s="33">
        <f t="shared" si="8"/>
        <v>0.5807860262008734</v>
      </c>
      <c r="AE11" s="33">
        <f t="shared" si="9"/>
        <v>1</v>
      </c>
      <c r="AF11" s="33">
        <f t="shared" si="10"/>
        <v>-999</v>
      </c>
      <c r="AG11" s="33">
        <f t="shared" si="11"/>
        <v>-999</v>
      </c>
      <c r="AH11" s="33">
        <f t="shared" si="12"/>
        <v>0.5873362445414847</v>
      </c>
      <c r="AI11" s="34">
        <f t="shared" si="13"/>
        <v>0.4265554188889374</v>
      </c>
      <c r="AJ11" s="4">
        <v>7.0060329939666</v>
      </c>
      <c r="AK11" s="32">
        <f t="shared" si="14"/>
        <v>-999</v>
      </c>
      <c r="AL11" s="34">
        <f t="shared" si="15"/>
        <v>0.5873362445414847</v>
      </c>
      <c r="AY11" s="103" t="s">
        <v>383</v>
      </c>
      <c r="AZ11" s="103" t="s">
        <v>743</v>
      </c>
      <c r="BA11" s="103" t="s">
        <v>181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1882</v>
      </c>
      <c r="E12" s="38">
        <f>IF(LEFT(VLOOKUP($B12,'Indicator chart'!$D$1:$J$36,5,FALSE),1)=" "," ",VLOOKUP($B12,'Indicator chart'!$D$1:$J$36,5,FALSE))</f>
        <v>0.824715</v>
      </c>
      <c r="F12" s="38">
        <f>IF(LEFT(VLOOKUP($B12,'Indicator chart'!$D$1:$J$36,6,FALSE),1)=" "," ",VLOOKUP($B12,'Indicator chart'!$D$1:$J$36,6,FALSE))</f>
        <v>0.8085730860141706</v>
      </c>
      <c r="G12" s="38">
        <f>IF(LEFT(VLOOKUP($B12,'Indicator chart'!$D$1:$J$36,7,FALSE),1)=" "," ",VLOOKUP($B12,'Indicator chart'!$D$1:$J$36,7,FALSE))</f>
        <v>0.8397658015097943</v>
      </c>
      <c r="H12" s="50">
        <f t="shared" si="0"/>
        <v>3</v>
      </c>
      <c r="I12" s="300" t="s">
        <v>646</v>
      </c>
      <c r="J12" s="300" t="s">
        <v>659</v>
      </c>
      <c r="K12" s="300" t="s">
        <v>680</v>
      </c>
      <c r="L12" s="300" t="s">
        <v>701</v>
      </c>
      <c r="M12" s="300" t="s">
        <v>723</v>
      </c>
      <c r="N12" s="80">
        <f>VLOOKUP('Hide - Control'!B$3,'All practice data'!A:CA,A12+29,FALSE)</f>
        <v>0.7693656633861332</v>
      </c>
      <c r="O12" s="80">
        <f>VLOOKUP('Hide - Control'!C$3,'All practice data'!A:CA,A12+29,FALSE)</f>
        <v>0.7246856648259642</v>
      </c>
      <c r="P12" s="38">
        <f>VLOOKUP('Hide - Control'!$B$4,'All practice data'!B:BC,A12+2,FALSE)</f>
        <v>93888</v>
      </c>
      <c r="Q12" s="38">
        <f>VLOOKUP('Hide - Control'!$B$4,'All practice data'!B:BJ,57,FALSE)</f>
        <v>122033</v>
      </c>
      <c r="R12" s="38">
        <f t="shared" si="17"/>
        <v>0.7669937593228658</v>
      </c>
      <c r="S12" s="38">
        <f t="shared" si="18"/>
        <v>0.7717206087159741</v>
      </c>
      <c r="T12" s="53" t="str">
        <f t="shared" si="16"/>
        <v>0.878338</v>
      </c>
      <c r="U12" s="51" t="str">
        <f t="shared" si="1"/>
        <v>0.533937</v>
      </c>
      <c r="V12" s="7"/>
      <c r="W12" s="27" t="str">
        <f t="shared" si="2"/>
        <v>0.533937</v>
      </c>
      <c r="X12" s="27">
        <f t="shared" si="3"/>
        <v>1.009792</v>
      </c>
      <c r="Y12" s="27" t="str">
        <f t="shared" si="4"/>
        <v>0.533937</v>
      </c>
      <c r="Z12" s="27">
        <f t="shared" si="5"/>
        <v>1.009792</v>
      </c>
      <c r="AA12" s="32">
        <f t="shared" si="6"/>
        <v>0</v>
      </c>
      <c r="AB12" s="33">
        <f t="shared" si="7"/>
        <v>0.3844958022927153</v>
      </c>
      <c r="AC12" s="33">
        <v>0.5</v>
      </c>
      <c r="AD12" s="33">
        <f t="shared" si="8"/>
        <v>0.582371730884408</v>
      </c>
      <c r="AE12" s="33">
        <f t="shared" si="9"/>
        <v>0.7237519832722151</v>
      </c>
      <c r="AF12" s="33">
        <f t="shared" si="10"/>
        <v>-999</v>
      </c>
      <c r="AG12" s="33">
        <f t="shared" si="11"/>
        <v>-999</v>
      </c>
      <c r="AH12" s="33">
        <f t="shared" si="12"/>
        <v>0.6110642947956835</v>
      </c>
      <c r="AI12" s="34">
        <f t="shared" si="13"/>
        <v>0.40085459819895597</v>
      </c>
      <c r="AJ12" s="4">
        <v>8.082028419348523</v>
      </c>
      <c r="AK12" s="32">
        <f t="shared" si="14"/>
        <v>-999</v>
      </c>
      <c r="AL12" s="34">
        <f t="shared" si="15"/>
        <v>0.6110642947956835</v>
      </c>
      <c r="AY12" s="103" t="s">
        <v>484</v>
      </c>
      <c r="AZ12" s="103" t="s">
        <v>744</v>
      </c>
      <c r="BA12" s="103" t="s">
        <v>181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1798</v>
      </c>
      <c r="E13" s="38">
        <f>IF(LEFT(VLOOKUP($B13,'Indicator chart'!$D$1:$J$36,5,FALSE),1)=" "," ",VLOOKUP($B13,'Indicator chart'!$D$1:$J$36,5,FALSE))</f>
        <v>0.811372</v>
      </c>
      <c r="F13" s="38">
        <f>IF(LEFT(VLOOKUP($B13,'Indicator chart'!$D$1:$J$36,6,FALSE),1)=" "," ",VLOOKUP($B13,'Indicator chart'!$D$1:$J$36,6,FALSE))</f>
        <v>0.7945495464281136</v>
      </c>
      <c r="G13" s="38">
        <f>IF(LEFT(VLOOKUP($B13,'Indicator chart'!$D$1:$J$36,7,FALSE),1)=" "," ",VLOOKUP($B13,'Indicator chart'!$D$1:$J$36,7,FALSE))</f>
        <v>0.8271164319011509</v>
      </c>
      <c r="H13" s="50">
        <f t="shared" si="0"/>
        <v>3</v>
      </c>
      <c r="I13" s="300" t="s">
        <v>623</v>
      </c>
      <c r="J13" s="300" t="s">
        <v>660</v>
      </c>
      <c r="K13" s="300" t="s">
        <v>681</v>
      </c>
      <c r="L13" s="300" t="s">
        <v>702</v>
      </c>
      <c r="M13" s="300" t="s">
        <v>379</v>
      </c>
      <c r="N13" s="80">
        <f>VLOOKUP('Hide - Control'!B$3,'All practice data'!A:CA,A13+29,FALSE)</f>
        <v>0.7773804109645678</v>
      </c>
      <c r="O13" s="80">
        <f>VLOOKUP('Hide - Control'!C$3,'All practice data'!A:CA,A13+29,FALSE)</f>
        <v>0.7425503147315781</v>
      </c>
      <c r="P13" s="38">
        <f>VLOOKUP('Hide - Control'!$B$4,'All practice data'!B:BC,A13+2,FALSE)</f>
        <v>37605</v>
      </c>
      <c r="Q13" s="38">
        <f>VLOOKUP('Hide - Control'!$B$4,'All practice data'!B:BJ,58,FALSE)</f>
        <v>48374</v>
      </c>
      <c r="R13" s="38">
        <f t="shared" si="17"/>
        <v>0.7736512447512981</v>
      </c>
      <c r="S13" s="38">
        <f t="shared" si="18"/>
        <v>0.7810655245888206</v>
      </c>
      <c r="T13" s="53" t="str">
        <f t="shared" si="16"/>
        <v>1</v>
      </c>
      <c r="U13" s="51" t="str">
        <f t="shared" si="1"/>
        <v>0.2</v>
      </c>
      <c r="V13" s="7"/>
      <c r="W13" s="27" t="str">
        <f t="shared" si="2"/>
        <v>0.2</v>
      </c>
      <c r="X13" s="27">
        <f t="shared" si="3"/>
        <v>1.2190640000000001</v>
      </c>
      <c r="Y13" s="27" t="str">
        <f t="shared" si="4"/>
        <v>0.2</v>
      </c>
      <c r="Z13" s="27">
        <f t="shared" si="5"/>
        <v>1.2190640000000001</v>
      </c>
      <c r="AA13" s="32">
        <f t="shared" si="6"/>
        <v>0</v>
      </c>
      <c r="AB13" s="33">
        <f t="shared" si="7"/>
        <v>0.3338458134130927</v>
      </c>
      <c r="AC13" s="33">
        <v>0.5</v>
      </c>
      <c r="AD13" s="33">
        <f t="shared" si="8"/>
        <v>0.5768801076281764</v>
      </c>
      <c r="AE13" s="33">
        <f t="shared" si="9"/>
        <v>0.7850341097320678</v>
      </c>
      <c r="AF13" s="33">
        <f t="shared" si="10"/>
        <v>-999</v>
      </c>
      <c r="AG13" s="33">
        <f t="shared" si="11"/>
        <v>-999</v>
      </c>
      <c r="AH13" s="33">
        <f t="shared" si="12"/>
        <v>0.5999348421688921</v>
      </c>
      <c r="AI13" s="34">
        <f t="shared" si="13"/>
        <v>0.5324006291376968</v>
      </c>
      <c r="AJ13" s="4">
        <v>9.158023844730446</v>
      </c>
      <c r="AK13" s="32">
        <f t="shared" si="14"/>
        <v>-999</v>
      </c>
      <c r="AL13" s="34">
        <f t="shared" si="15"/>
        <v>0.5999348421688921</v>
      </c>
      <c r="AY13" s="103" t="s">
        <v>384</v>
      </c>
      <c r="AZ13" s="103" t="s">
        <v>745</v>
      </c>
      <c r="BA13" s="103" t="s">
        <v>181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2563</v>
      </c>
      <c r="E14" s="38">
        <f>IF(LEFT(VLOOKUP($B14,'Indicator chart'!$D$1:$J$36,5,FALSE),1)=" "," ",VLOOKUP($B14,'Indicator chart'!$D$1:$J$36,5,FALSE))</f>
        <v>0.748977</v>
      </c>
      <c r="F14" s="38">
        <f>IF(LEFT(VLOOKUP($B14,'Indicator chart'!$D$1:$J$36,6,FALSE),1)=" "," ",VLOOKUP($B14,'Indicator chart'!$D$1:$J$36,6,FALSE))</f>
        <v>0.7341754398843442</v>
      </c>
      <c r="G14" s="38">
        <f>IF(LEFT(VLOOKUP($B14,'Indicator chart'!$D$1:$J$36,7,FALSE),1)=" "," ",VLOOKUP($B14,'Indicator chart'!$D$1:$J$36,7,FALSE))</f>
        <v>0.7632205868321273</v>
      </c>
      <c r="H14" s="50">
        <f t="shared" si="0"/>
        <v>1</v>
      </c>
      <c r="I14" s="300" t="s">
        <v>647</v>
      </c>
      <c r="J14" s="300" t="s">
        <v>661</v>
      </c>
      <c r="K14" s="300" t="s">
        <v>682</v>
      </c>
      <c r="L14" s="300" t="s">
        <v>703</v>
      </c>
      <c r="M14" s="300" t="s">
        <v>724</v>
      </c>
      <c r="N14" s="80">
        <f>VLOOKUP('Hide - Control'!B$3,'All practice data'!A:CA,A14+29,FALSE)</f>
        <v>0.7794262916111212</v>
      </c>
      <c r="O14" s="80">
        <f>VLOOKUP('Hide - Control'!C$3,'All practice data'!A:CA,A14+29,FALSE)</f>
        <v>0.7530641252748632</v>
      </c>
      <c r="P14" s="38">
        <f>VLOOKUP('Hide - Control'!$B$4,'All practice data'!B:BC,A14+2,FALSE)</f>
        <v>162540</v>
      </c>
      <c r="Q14" s="38">
        <f>VLOOKUP('Hide - Control'!$B$4,'All practice data'!B:BJ,59,FALSE)</f>
        <v>208538</v>
      </c>
      <c r="R14" s="38">
        <f t="shared" si="17"/>
        <v>0.777641530763028</v>
      </c>
      <c r="S14" s="38">
        <f t="shared" si="18"/>
        <v>0.7812007576998162</v>
      </c>
      <c r="T14" s="53" t="str">
        <f t="shared" si="16"/>
        <v>0.897872</v>
      </c>
      <c r="U14" s="51" t="str">
        <f t="shared" si="1"/>
        <v>0.645199</v>
      </c>
      <c r="V14" s="7"/>
      <c r="W14" s="27" t="str">
        <f t="shared" si="2"/>
        <v>0.645199</v>
      </c>
      <c r="X14" s="27">
        <f t="shared" si="3"/>
        <v>0.929483</v>
      </c>
      <c r="Y14" s="27" t="str">
        <f t="shared" si="4"/>
        <v>0.645199</v>
      </c>
      <c r="Z14" s="27">
        <f t="shared" si="5"/>
        <v>0.929483</v>
      </c>
      <c r="AA14" s="32">
        <f t="shared" si="6"/>
        <v>0</v>
      </c>
      <c r="AB14" s="33">
        <f t="shared" si="7"/>
        <v>0.4017971465154566</v>
      </c>
      <c r="AC14" s="33">
        <v>0.5</v>
      </c>
      <c r="AD14" s="33">
        <f t="shared" si="8"/>
        <v>0.5742400205428377</v>
      </c>
      <c r="AE14" s="33">
        <f t="shared" si="9"/>
        <v>0.8888048571147165</v>
      </c>
      <c r="AF14" s="33">
        <f t="shared" si="10"/>
        <v>-999</v>
      </c>
      <c r="AG14" s="33">
        <f t="shared" si="11"/>
        <v>-999</v>
      </c>
      <c r="AH14" s="33">
        <f t="shared" si="12"/>
        <v>0.3650504425152314</v>
      </c>
      <c r="AI14" s="34">
        <f t="shared" si="13"/>
        <v>0.3794273517850574</v>
      </c>
      <c r="AJ14" s="4">
        <v>10.234019270112368</v>
      </c>
      <c r="AK14" s="32">
        <f t="shared" si="14"/>
        <v>0.3650504425152314</v>
      </c>
      <c r="AL14" s="34">
        <f t="shared" si="15"/>
        <v>-999</v>
      </c>
      <c r="AY14" s="103" t="s">
        <v>511</v>
      </c>
      <c r="AZ14" s="103" t="s">
        <v>746</v>
      </c>
      <c r="BA14" s="103" t="s">
        <v>181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1390</v>
      </c>
      <c r="E15" s="38">
        <f>IF(LEFT(VLOOKUP($B15,'Indicator chart'!$D$1:$J$36,5,FALSE),1)=" "," ",VLOOKUP($B15,'Indicator chart'!$D$1:$J$36,5,FALSE))</f>
        <v>0.63908</v>
      </c>
      <c r="F15" s="38">
        <f>IF(LEFT(VLOOKUP($B15,'Indicator chart'!$D$1:$J$36,6,FALSE),1)=" "," ",VLOOKUP($B15,'Indicator chart'!$D$1:$J$36,6,FALSE))</f>
        <v>0.6186674514432215</v>
      </c>
      <c r="G15" s="38">
        <f>IF(LEFT(VLOOKUP($B15,'Indicator chart'!$D$1:$J$36,7,FALSE),1)=" "," ",VLOOKUP($B15,'Indicator chart'!$D$1:$J$36,7,FALSE))</f>
        <v>0.6590030318080621</v>
      </c>
      <c r="H15" s="50">
        <f t="shared" si="0"/>
        <v>2</v>
      </c>
      <c r="I15" s="300" t="s">
        <v>648</v>
      </c>
      <c r="J15" s="300" t="s">
        <v>662</v>
      </c>
      <c r="K15" s="300" t="s">
        <v>683</v>
      </c>
      <c r="L15" s="300" t="s">
        <v>704</v>
      </c>
      <c r="M15" s="300" t="s">
        <v>725</v>
      </c>
      <c r="N15" s="80">
        <f>VLOOKUP('Hide - Control'!B$3,'All practice data'!A:CA,A15+29,FALSE)</f>
        <v>0.6275745930307872</v>
      </c>
      <c r="O15" s="80">
        <f>VLOOKUP('Hide - Control'!C$3,'All practice data'!A:CA,A15+29,FALSE)</f>
        <v>0.5744521249276766</v>
      </c>
      <c r="P15" s="38">
        <f>VLOOKUP('Hide - Control'!$B$4,'All practice data'!B:BC,A15+2,FALSE)</f>
        <v>72670</v>
      </c>
      <c r="Q15" s="38">
        <f>VLOOKUP('Hide - Control'!$B$4,'All practice data'!B:BJ,60,FALSE)</f>
        <v>115795</v>
      </c>
      <c r="R15" s="38">
        <f t="shared" si="17"/>
        <v>0.6247857994113583</v>
      </c>
      <c r="S15" s="38">
        <f t="shared" si="18"/>
        <v>0.6303549221345127</v>
      </c>
      <c r="T15" s="53" t="str">
        <f t="shared" si="16"/>
        <v>0.752969</v>
      </c>
      <c r="U15" s="51" t="str">
        <f t="shared" si="1"/>
        <v>0.390511</v>
      </c>
      <c r="V15" s="7"/>
      <c r="W15" s="27" t="str">
        <f t="shared" si="2"/>
        <v>0.390511</v>
      </c>
      <c r="X15" s="27">
        <f t="shared" si="3"/>
        <v>0.8437729999999999</v>
      </c>
      <c r="Y15" s="27" t="str">
        <f t="shared" si="4"/>
        <v>0.390511</v>
      </c>
      <c r="Z15" s="27">
        <f t="shared" si="5"/>
        <v>0.8437729999999999</v>
      </c>
      <c r="AA15" s="32">
        <f t="shared" si="6"/>
        <v>0</v>
      </c>
      <c r="AB15" s="33">
        <f t="shared" si="7"/>
        <v>0.4125759494508697</v>
      </c>
      <c r="AC15" s="33">
        <v>0.5</v>
      </c>
      <c r="AD15" s="33">
        <f t="shared" si="8"/>
        <v>0.5908619076825326</v>
      </c>
      <c r="AE15" s="33">
        <f t="shared" si="9"/>
        <v>0.7996655356063382</v>
      </c>
      <c r="AF15" s="33">
        <f t="shared" si="10"/>
        <v>-999</v>
      </c>
      <c r="AG15" s="33">
        <f t="shared" si="11"/>
        <v>0.5484002629825576</v>
      </c>
      <c r="AH15" s="33">
        <f t="shared" si="12"/>
        <v>-999</v>
      </c>
      <c r="AI15" s="34">
        <f t="shared" si="13"/>
        <v>0.4058163378524488</v>
      </c>
      <c r="AJ15" s="4">
        <v>11.310014695494289</v>
      </c>
      <c r="AK15" s="32">
        <f t="shared" si="14"/>
        <v>-999</v>
      </c>
      <c r="AL15" s="34">
        <f t="shared" si="15"/>
        <v>-999</v>
      </c>
      <c r="AY15" s="103" t="s">
        <v>555</v>
      </c>
      <c r="AZ15" s="103" t="s">
        <v>747</v>
      </c>
      <c r="BA15" s="103" t="s">
        <v>181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679</v>
      </c>
      <c r="E16" s="38">
        <f>IF(LEFT(VLOOKUP($B16,'Indicator chart'!$D$1:$J$36,5,FALSE),1)=" "," ",VLOOKUP($B16,'Indicator chart'!$D$1:$J$36,5,FALSE))</f>
        <v>0.632805</v>
      </c>
      <c r="F16" s="38">
        <f>IF(LEFT(VLOOKUP($B16,'Indicator chart'!$D$1:$J$36,6,FALSE),1)=" "," ",VLOOKUP($B16,'Indicator chart'!$D$1:$J$36,6,FALSE))</f>
        <v>0.6035360992969807</v>
      </c>
      <c r="G16" s="38">
        <f>IF(LEFT(VLOOKUP($B16,'Indicator chart'!$D$1:$J$36,7,FALSE),1)=" "," ",VLOOKUP($B16,'Indicator chart'!$D$1:$J$36,7,FALSE))</f>
        <v>0.6611267814832567</v>
      </c>
      <c r="H16" s="50">
        <f t="shared" si="0"/>
        <v>2</v>
      </c>
      <c r="I16" s="300" t="s">
        <v>649</v>
      </c>
      <c r="J16" s="300" t="s">
        <v>663</v>
      </c>
      <c r="K16" s="300" t="s">
        <v>684</v>
      </c>
      <c r="L16" s="300" t="s">
        <v>705</v>
      </c>
      <c r="M16" s="300" t="s">
        <v>726</v>
      </c>
      <c r="N16" s="80">
        <f>VLOOKUP('Hide - Control'!B$3,'All practice data'!A:CA,A16+29,FALSE)</f>
        <v>0.6145196898906402</v>
      </c>
      <c r="O16" s="80">
        <f>VLOOKUP('Hide - Control'!C$3,'All practice data'!A:CA,A16+29,FALSE)</f>
        <v>0.5565049054289257</v>
      </c>
      <c r="P16" s="38">
        <f>VLOOKUP('Hide - Control'!$B$4,'All practice data'!B:BC,A16+2,FALSE)</f>
        <v>35907</v>
      </c>
      <c r="Q16" s="38">
        <f>VLOOKUP('Hide - Control'!$B$4,'All practice data'!B:BJ,61,FALSE)</f>
        <v>58431</v>
      </c>
      <c r="R16" s="38">
        <f t="shared" si="17"/>
        <v>0.6105658627290318</v>
      </c>
      <c r="S16" s="38">
        <f t="shared" si="18"/>
        <v>0.6184584596368904</v>
      </c>
      <c r="T16" s="53" t="str">
        <f aca="true" t="shared" si="19" ref="T16:T31">IF($C16=1,M16,I16)</f>
        <v>0.799065</v>
      </c>
      <c r="U16" s="51" t="str">
        <f aca="true" t="shared" si="20" ref="U16:U31">IF($C16=1,I16,M16)</f>
        <v>0.355705</v>
      </c>
      <c r="V16" s="7"/>
      <c r="W16" s="27" t="str">
        <f t="shared" si="2"/>
        <v>0.355705</v>
      </c>
      <c r="X16" s="27">
        <f t="shared" si="3"/>
        <v>0.8620780000000001</v>
      </c>
      <c r="Y16" s="27" t="str">
        <f t="shared" si="4"/>
        <v>0.355705</v>
      </c>
      <c r="Z16" s="27">
        <f t="shared" si="5"/>
        <v>0.8620780000000001</v>
      </c>
      <c r="AA16" s="32">
        <f t="shared" si="6"/>
        <v>0</v>
      </c>
      <c r="AB16" s="33">
        <f t="shared" si="7"/>
        <v>0.41284241063405813</v>
      </c>
      <c r="AC16" s="33">
        <v>0.5</v>
      </c>
      <c r="AD16" s="33">
        <f t="shared" si="8"/>
        <v>0.5671619537376595</v>
      </c>
      <c r="AE16" s="33">
        <f t="shared" si="9"/>
        <v>0.8755601108273938</v>
      </c>
      <c r="AF16" s="33">
        <f t="shared" si="10"/>
        <v>-999</v>
      </c>
      <c r="AG16" s="33">
        <f t="shared" si="11"/>
        <v>0.547225069267121</v>
      </c>
      <c r="AH16" s="33">
        <f t="shared" si="12"/>
        <v>-999</v>
      </c>
      <c r="AI16" s="34">
        <f t="shared" si="13"/>
        <v>0.3965454426458868</v>
      </c>
      <c r="AJ16" s="4">
        <v>12.386010120876215</v>
      </c>
      <c r="AK16" s="32">
        <f t="shared" si="14"/>
        <v>-999</v>
      </c>
      <c r="AL16" s="34">
        <f t="shared" si="15"/>
        <v>-999</v>
      </c>
      <c r="AY16" s="103" t="s">
        <v>453</v>
      </c>
      <c r="AZ16" s="103" t="s">
        <v>748</v>
      </c>
      <c r="BA16" s="103" t="s">
        <v>181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496</v>
      </c>
      <c r="E17" s="38">
        <f>IF(LEFT(VLOOKUP($B17,'Indicator chart'!$D$1:$J$36,5,FALSE),1)=" "," ",VLOOKUP($B17,'Indicator chart'!$D$1:$J$36,5,FALSE))</f>
        <v>3398.1912852836394</v>
      </c>
      <c r="F17" s="38">
        <f>IF(LEFT(VLOOKUP($B17,'Indicator chart'!$D$1:$J$36,6,FALSE),1)=" "," ",VLOOKUP($B17,'Indicator chart'!$D$1:$J$36,6,FALSE))</f>
        <v>3105.664211602931</v>
      </c>
      <c r="G17" s="38">
        <f>IF(LEFT(VLOOKUP($B17,'Indicator chart'!$D$1:$J$36,7,FALSE),1)=" "," ",VLOOKUP($B17,'Indicator chart'!$D$1:$J$36,7,FALSE))</f>
        <v>3710.846916514529</v>
      </c>
      <c r="H17" s="50">
        <f t="shared" si="0"/>
        <v>3</v>
      </c>
      <c r="I17" s="300" t="s">
        <v>650</v>
      </c>
      <c r="J17" s="300" t="s">
        <v>664</v>
      </c>
      <c r="K17" s="300" t="s">
        <v>685</v>
      </c>
      <c r="L17" s="300" t="s">
        <v>706</v>
      </c>
      <c r="M17" s="300" t="s">
        <v>727</v>
      </c>
      <c r="N17" s="80">
        <f>VLOOKUP('Hide - Control'!B$3,'All practice data'!A:CA,A17+29,FALSE)</f>
        <v>2601.5001059459532</v>
      </c>
      <c r="O17" s="80">
        <f>VLOOKUP('Hide - Control'!C$3,'All practice data'!A:CA,A17+29,FALSE)</f>
        <v>1981.9429445600304</v>
      </c>
      <c r="P17" s="38">
        <f>VLOOKUP('Hide - Control'!$B$4,'All practice data'!B:BC,A17+2,FALSE)</f>
        <v>23450</v>
      </c>
      <c r="Q17" s="38">
        <f>VLOOKUP('Hide - Control'!$B$4,'All practice data'!B:BC,3,FALSE)</f>
        <v>901403</v>
      </c>
      <c r="R17" s="38">
        <f>100000*(P17*(1-1/(9*P17)-1.96/(3*SQRT(P17)))^3)/Q17</f>
        <v>2568.3080397111194</v>
      </c>
      <c r="S17" s="38">
        <f>100000*((P17+1)*(1-1/(9*(P17+1))+1.96/(3*SQRT(P17+1)))^3)/Q17</f>
        <v>2635.0139805844165</v>
      </c>
      <c r="T17" s="53" t="str">
        <f t="shared" si="19"/>
        <v>5421.103582</v>
      </c>
      <c r="U17" s="51" t="str">
        <f t="shared" si="20"/>
        <v>1057.444984</v>
      </c>
      <c r="V17" s="7"/>
      <c r="W17" s="27">
        <f t="shared" si="2"/>
        <v>-334.8499519999996</v>
      </c>
      <c r="X17" s="27" t="str">
        <f t="shared" si="3"/>
        <v>5421.103582</v>
      </c>
      <c r="Y17" s="27">
        <f t="shared" si="4"/>
        <v>-334.8499519999996</v>
      </c>
      <c r="Z17" s="27" t="str">
        <f t="shared" si="5"/>
        <v>5421.103582</v>
      </c>
      <c r="AA17" s="32">
        <f t="shared" si="6"/>
        <v>0.2418877997843128</v>
      </c>
      <c r="AB17" s="33">
        <f t="shared" si="7"/>
        <v>0.421305454200701</v>
      </c>
      <c r="AC17" s="33">
        <v>0.5</v>
      </c>
      <c r="AD17" s="33">
        <f t="shared" si="8"/>
        <v>0.5859824677312969</v>
      </c>
      <c r="AE17" s="33">
        <f t="shared" si="9"/>
        <v>1</v>
      </c>
      <c r="AF17" s="33">
        <f t="shared" si="10"/>
        <v>-999</v>
      </c>
      <c r="AG17" s="33">
        <f t="shared" si="11"/>
        <v>-999</v>
      </c>
      <c r="AH17" s="33">
        <f t="shared" si="12"/>
        <v>0.6485530529794648</v>
      </c>
      <c r="AI17" s="34">
        <f t="shared" si="13"/>
        <v>0.40250375248425874</v>
      </c>
      <c r="AJ17" s="4">
        <v>13.462005546258133</v>
      </c>
      <c r="AK17" s="32">
        <f t="shared" si="14"/>
        <v>-999</v>
      </c>
      <c r="AL17" s="34">
        <f t="shared" si="15"/>
        <v>0.6485530529794648</v>
      </c>
      <c r="AY17" s="103" t="s">
        <v>452</v>
      </c>
      <c r="AZ17" s="103" t="s">
        <v>749</v>
      </c>
      <c r="BA17" s="103" t="s">
        <v>181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496</v>
      </c>
      <c r="E18" s="80">
        <f>IF(LEFT(VLOOKUP($B18,'Indicator chart'!$D$1:$J$36,5,FALSE),1)=" "," ",VLOOKUP($B18,'Indicator chart'!$D$1:$J$36,5,FALSE))</f>
        <v>1.4098</v>
      </c>
      <c r="F18" s="81">
        <f>IF(LEFT(VLOOKUP($B18,'Indicator chart'!$D$1:$J$36,6,FALSE),1)=" "," ",VLOOKUP($B18,'Indicator chart'!$D$1:$J$36,6,FALSE))</f>
        <v>1.2884</v>
      </c>
      <c r="G18" s="38">
        <f>IF(LEFT(VLOOKUP($B18,'Indicator chart'!$D$1:$J$36,7,FALSE),1)=" "," ",VLOOKUP($B18,'Indicator chart'!$D$1:$J$36,7,FALSE))</f>
        <v>1.5394999999999999</v>
      </c>
      <c r="H18" s="50">
        <f>IF(LEFT(F18,1)=" ",4,IF(AND(ABS(N18-E18)&gt;SQRT((E18-G18)^2+(N18-R18)^2),E18&lt;N18),1,IF(AND(ABS(N18-E18)&gt;SQRT((E18-F18)^2+(N18-S18)^2),E18&gt;N18),3,2)))</f>
        <v>3</v>
      </c>
      <c r="I18" s="300" t="s">
        <v>651</v>
      </c>
      <c r="J18" s="300"/>
      <c r="K18" s="300" t="s">
        <v>379</v>
      </c>
      <c r="L18" s="300"/>
      <c r="M18" s="300" t="s">
        <v>728</v>
      </c>
      <c r="N18" s="80">
        <v>1</v>
      </c>
      <c r="O18" s="80">
        <f>VLOOKUP('Hide - Control'!C$3,'All practice data'!A:CA,A18+29,FALSE)</f>
        <v>1</v>
      </c>
      <c r="P18" s="38">
        <f>VLOOKUP('Hide - Control'!$B$4,'All practice data'!B:BC,A18+2,FALSE)</f>
        <v>23450</v>
      </c>
      <c r="Q18" s="38">
        <f>VLOOKUP('Hide - Control'!$B$4,'All practice data'!B:BC,14,FALSE)</f>
        <v>23450</v>
      </c>
      <c r="R18" s="81">
        <v>1</v>
      </c>
      <c r="S18" s="38">
        <v>1</v>
      </c>
      <c r="T18" s="53" t="str">
        <f t="shared" si="19"/>
        <v>2.7065</v>
      </c>
      <c r="U18" s="51" t="str">
        <f t="shared" si="20"/>
        <v>0.5265</v>
      </c>
      <c r="V18" s="7"/>
      <c r="W18" s="27">
        <f>IF((K18-I18)&gt;(M18-K18),I18,(K18-(M18-K18)))</f>
        <v>-0.7065000000000001</v>
      </c>
      <c r="X18" s="27" t="str">
        <f t="shared" si="3"/>
        <v>2.7065</v>
      </c>
      <c r="Y18" s="27">
        <f t="shared" si="4"/>
        <v>-0.7065000000000001</v>
      </c>
      <c r="Z18" s="27" t="str">
        <f t="shared" si="5"/>
        <v>2.7065</v>
      </c>
      <c r="AA18" s="32" t="s">
        <v>181</v>
      </c>
      <c r="AB18" s="33" t="s">
        <v>181</v>
      </c>
      <c r="AC18" s="33">
        <v>0.5</v>
      </c>
      <c r="AD18" s="33" t="s">
        <v>181</v>
      </c>
      <c r="AE18" s="33" t="s">
        <v>181</v>
      </c>
      <c r="AF18" s="33">
        <f t="shared" si="10"/>
        <v>-999</v>
      </c>
      <c r="AG18" s="33">
        <f t="shared" si="11"/>
        <v>-999</v>
      </c>
      <c r="AH18" s="33">
        <f t="shared" si="12"/>
        <v>0.6200703193671256</v>
      </c>
      <c r="AI18" s="34">
        <v>0.5</v>
      </c>
      <c r="AJ18" s="4">
        <v>14.538000971640056</v>
      </c>
      <c r="AK18" s="32">
        <f t="shared" si="14"/>
        <v>-999</v>
      </c>
      <c r="AL18" s="34">
        <f t="shared" si="15"/>
        <v>0.6200703193671256</v>
      </c>
      <c r="AY18" s="103" t="s">
        <v>458</v>
      </c>
      <c r="AZ18" s="103" t="s">
        <v>750</v>
      </c>
      <c r="BA18" s="103" t="s">
        <v>181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62</v>
      </c>
      <c r="E19" s="38">
        <f>IF(LEFT(VLOOKUP($B19,'Indicator chart'!$D$1:$J$36,5,FALSE),1)=" "," ",VLOOKUP($B19,'Indicator chart'!$D$1:$J$36,5,FALSE))</f>
        <v>0.125</v>
      </c>
      <c r="F19" s="38">
        <f>IF(LEFT(VLOOKUP($B19,'Indicator chart'!$D$1:$J$36,6,FALSE),1)=" "," ",VLOOKUP($B19,'Indicator chart'!$D$1:$J$36,6,FALSE))</f>
        <v>0.09874583184083086</v>
      </c>
      <c r="G19" s="38">
        <f>IF(LEFT(VLOOKUP($B19,'Indicator chart'!$D$1:$J$36,7,FALSE),1)=" "," ",VLOOKUP($B19,'Indicator chart'!$D$1:$J$36,7,FALSE))</f>
        <v>0.15701839426599978</v>
      </c>
      <c r="H19" s="50">
        <f t="shared" si="0"/>
        <v>2</v>
      </c>
      <c r="I19" s="300" t="s">
        <v>626</v>
      </c>
      <c r="J19" s="300" t="s">
        <v>665</v>
      </c>
      <c r="K19" s="300" t="s">
        <v>686</v>
      </c>
      <c r="L19" s="300" t="s">
        <v>707</v>
      </c>
      <c r="M19" s="300" t="s">
        <v>642</v>
      </c>
      <c r="N19" s="80">
        <f>VLOOKUP('Hide - Control'!B$3,'All practice data'!A:CA,A19+29,FALSE)</f>
        <v>0.11321961620469083</v>
      </c>
      <c r="O19" s="80">
        <f>VLOOKUP('Hide - Control'!C$3,'All practice data'!A:CA,A19+29,FALSE)</f>
        <v>0.10567469035419712</v>
      </c>
      <c r="P19" s="38">
        <f>VLOOKUP('Hide - Control'!$B$4,'All practice data'!B:BC,A19+2,FALSE)</f>
        <v>2655</v>
      </c>
      <c r="Q19" s="38">
        <f>VLOOKUP('Hide - Control'!$B$4,'All practice data'!B:BC,15,FALSE)</f>
        <v>23450</v>
      </c>
      <c r="R19" s="38">
        <f>+((2*P19+1.96^2-1.96*SQRT(1.96^2+4*P19*(1-P19/Q19)))/(2*(Q19+1.96^2)))</f>
        <v>0.10922722069947194</v>
      </c>
      <c r="S19" s="38">
        <f>+((2*P19+1.96^2+1.96*SQRT(1.96^2+4*P19*(1-P19/Q19)))/(2*(Q19+1.96^2)))</f>
        <v>0.11733871637072639</v>
      </c>
      <c r="T19" s="53" t="str">
        <f t="shared" si="19"/>
        <v>0.282051</v>
      </c>
      <c r="U19" s="51" t="str">
        <f t="shared" si="20"/>
        <v>0.0302492</v>
      </c>
      <c r="V19" s="7"/>
      <c r="W19" s="27">
        <f t="shared" si="2"/>
        <v>-0.05740146799999997</v>
      </c>
      <c r="X19" s="27" t="str">
        <f t="shared" si="3"/>
        <v>0.282051</v>
      </c>
      <c r="Y19" s="27">
        <f t="shared" si="4"/>
        <v>-0.05740146799999997</v>
      </c>
      <c r="Z19" s="27" t="str">
        <f t="shared" si="5"/>
        <v>0.282051</v>
      </c>
      <c r="AA19" s="32">
        <f t="shared" si="6"/>
        <v>0.25821190376497716</v>
      </c>
      <c r="AB19" s="33">
        <f t="shared" si="7"/>
        <v>0.4439936609917356</v>
      </c>
      <c r="AC19" s="33">
        <v>0.5</v>
      </c>
      <c r="AD19" s="33">
        <f t="shared" si="8"/>
        <v>0.5743164518691907</v>
      </c>
      <c r="AE19" s="33">
        <f t="shared" si="9"/>
        <v>1</v>
      </c>
      <c r="AF19" s="33">
        <f t="shared" si="10"/>
        <v>-999</v>
      </c>
      <c r="AG19" s="33">
        <f t="shared" si="11"/>
        <v>0.5373402322707519</v>
      </c>
      <c r="AH19" s="33">
        <f t="shared" si="12"/>
        <v>-999</v>
      </c>
      <c r="AI19" s="34">
        <f t="shared" si="13"/>
        <v>0.4804094055200598</v>
      </c>
      <c r="AJ19" s="4">
        <v>15.61399639702198</v>
      </c>
      <c r="AK19" s="32">
        <f t="shared" si="14"/>
        <v>-999</v>
      </c>
      <c r="AL19" s="34">
        <f t="shared" si="15"/>
        <v>-999</v>
      </c>
      <c r="AY19" s="103" t="s">
        <v>459</v>
      </c>
      <c r="AZ19" s="103" t="s">
        <v>751</v>
      </c>
      <c r="BA19" s="103" t="s">
        <v>181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137</v>
      </c>
      <c r="E20" s="38">
        <f>IF(LEFT(VLOOKUP($B20,'Indicator chart'!$D$1:$J$36,5,FALSE),1)=" "," ",VLOOKUP($B20,'Indicator chart'!$D$1:$J$36,5,FALSE))</f>
        <v>0.45255474452554745</v>
      </c>
      <c r="F20" s="38">
        <f>IF(LEFT(VLOOKUP($B20,'Indicator chart'!$D$1:$J$36,6,FALSE),1)=" "," ",VLOOKUP($B20,'Indicator chart'!$D$1:$J$36,6,FALSE))</f>
        <v>0.37163400415030007</v>
      </c>
      <c r="G20" s="38">
        <f>IF(LEFT(VLOOKUP($B20,'Indicator chart'!$D$1:$J$36,7,FALSE),1)=" "," ",VLOOKUP($B20,'Indicator chart'!$D$1:$J$36,7,FALSE))</f>
        <v>0.5360637215216605</v>
      </c>
      <c r="H20" s="50">
        <f t="shared" si="0"/>
        <v>2</v>
      </c>
      <c r="I20" s="300" t="s">
        <v>627</v>
      </c>
      <c r="J20" s="300" t="s">
        <v>666</v>
      </c>
      <c r="K20" s="300" t="s">
        <v>635</v>
      </c>
      <c r="L20" s="300" t="s">
        <v>639</v>
      </c>
      <c r="M20" s="300" t="s">
        <v>632</v>
      </c>
      <c r="N20" s="80">
        <f>VLOOKUP('Hide - Control'!B$3,'All practice data'!A:CA,A20+29,FALSE)</f>
        <v>0.5002826455624647</v>
      </c>
      <c r="O20" s="80">
        <f>VLOOKUP('Hide - Control'!C$3,'All practice data'!A:CA,A20+29,FALSE)</f>
        <v>0.46478295325177904</v>
      </c>
      <c r="P20" s="38">
        <f>VLOOKUP('Hide - Control'!$B$4,'All practice data'!B:BC,A20+1,FALSE)</f>
        <v>2655</v>
      </c>
      <c r="Q20" s="38">
        <f>VLOOKUP('Hide - Control'!$B$4,'All practice data'!B:BC,A20+2,FALSE)</f>
        <v>5307</v>
      </c>
      <c r="R20" s="38">
        <f>+((2*P20+1.96^2-1.96*SQRT(1.96^2+4*P20*(1-P20/Q20)))/(2*(Q20+1.96^2)))</f>
        <v>0.48683485505585794</v>
      </c>
      <c r="S20" s="38">
        <f>+((2*P20+1.96^2+1.96*SQRT(1.96^2+4*P20*(1-P20/Q20)))/(2*(Q20+1.96^2)))</f>
        <v>0.5137300271654458</v>
      </c>
      <c r="T20" s="53" t="str">
        <f t="shared" si="19"/>
        <v>0.761905</v>
      </c>
      <c r="U20" s="51" t="str">
        <f t="shared" si="20"/>
        <v>0.148231</v>
      </c>
      <c r="V20" s="7"/>
      <c r="W20" s="27" t="str">
        <f t="shared" si="2"/>
        <v>0.148231</v>
      </c>
      <c r="X20" s="27">
        <f t="shared" si="3"/>
        <v>0.851769</v>
      </c>
      <c r="Y20" s="27" t="str">
        <f t="shared" si="4"/>
        <v>0.148231</v>
      </c>
      <c r="Z20" s="27">
        <f t="shared" si="5"/>
        <v>0.851769</v>
      </c>
      <c r="AA20" s="32">
        <f t="shared" si="6"/>
        <v>0</v>
      </c>
      <c r="AB20" s="33">
        <f t="shared" si="7"/>
        <v>0.41146752698503847</v>
      </c>
      <c r="AC20" s="33">
        <v>0.5</v>
      </c>
      <c r="AD20" s="33">
        <f t="shared" si="8"/>
        <v>0.594535666872294</v>
      </c>
      <c r="AE20" s="33">
        <f t="shared" si="9"/>
        <v>0.8722684488968614</v>
      </c>
      <c r="AF20" s="33">
        <f t="shared" si="10"/>
        <v>-999</v>
      </c>
      <c r="AG20" s="33">
        <f t="shared" si="11"/>
        <v>0.43256191495775276</v>
      </c>
      <c r="AH20" s="33">
        <f t="shared" si="12"/>
        <v>-999</v>
      </c>
      <c r="AI20" s="34">
        <f t="shared" si="13"/>
        <v>0.4499429359207023</v>
      </c>
      <c r="AJ20" s="4">
        <v>16.689991822403904</v>
      </c>
      <c r="AK20" s="32">
        <f t="shared" si="14"/>
        <v>-999</v>
      </c>
      <c r="AL20" s="34">
        <f t="shared" si="15"/>
        <v>-999</v>
      </c>
      <c r="AY20" s="103" t="s">
        <v>461</v>
      </c>
      <c r="AZ20" s="103" t="s">
        <v>752</v>
      </c>
      <c r="BA20" s="103" t="s">
        <v>181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56</v>
      </c>
      <c r="E21" s="38">
        <f>IF(LEFT(VLOOKUP($B21,'Indicator chart'!$D$1:$J$36,5,FALSE),1)=" "," ",VLOOKUP($B21,'Indicator chart'!$D$1:$J$36,5,FALSE))</f>
        <v>383.66675801589474</v>
      </c>
      <c r="F21" s="38">
        <f>IF(LEFT(VLOOKUP($B21,'Indicator chart'!$D$1:$J$36,6,FALSE),1)=" "," ",VLOOKUP($B21,'Indicator chart'!$D$1:$J$36,6,FALSE))</f>
        <v>289.79791216867267</v>
      </c>
      <c r="G21" s="38">
        <f>IF(LEFT(VLOOKUP($B21,'Indicator chart'!$D$1:$J$36,7,FALSE),1)=" "," ",VLOOKUP($B21,'Indicator chart'!$D$1:$J$36,7,FALSE))</f>
        <v>498.23466444777574</v>
      </c>
      <c r="H21" s="50">
        <f t="shared" si="0"/>
        <v>2</v>
      </c>
      <c r="I21" s="300" t="s">
        <v>628</v>
      </c>
      <c r="J21" s="300" t="s">
        <v>667</v>
      </c>
      <c r="K21" s="300" t="s">
        <v>687</v>
      </c>
      <c r="L21" s="300" t="s">
        <v>708</v>
      </c>
      <c r="M21" s="300" t="s">
        <v>729</v>
      </c>
      <c r="N21" s="80">
        <f>VLOOKUP('Hide - Control'!B$3,'All practice data'!A:CA,A21+29,FALSE)</f>
        <v>451.0746025917376</v>
      </c>
      <c r="O21" s="80">
        <f>VLOOKUP('Hide - Control'!C$3,'All practice data'!A:CA,A21+29,FALSE)</f>
        <v>371.7205735004512</v>
      </c>
      <c r="P21" s="38">
        <f>VLOOKUP('Hide - Control'!$B$4,'All practice data'!B:BC,A21+2,FALSE)</f>
        <v>4066</v>
      </c>
      <c r="Q21" s="38">
        <f>VLOOKUP('Hide - Control'!$B$4,'All practice data'!B:BC,3,FALSE)</f>
        <v>901403</v>
      </c>
      <c r="R21" s="38">
        <f aca="true" t="shared" si="21" ref="R21:R27">100000*(P21*(1-1/(9*P21)-1.96/(3*SQRT(P21)))^3)/Q21</f>
        <v>437.3149246738796</v>
      </c>
      <c r="S21" s="38">
        <f aca="true" t="shared" si="22" ref="S21:S27">100000*((P21+1)*(1-1/(9*(P21+1))+1.96/(3*SQRT(P21+1)))^3)/Q21</f>
        <v>465.1570791336683</v>
      </c>
      <c r="T21" s="53" t="str">
        <f t="shared" si="19"/>
        <v>974.3589744</v>
      </c>
      <c r="U21" s="51" t="str">
        <f t="shared" si="20"/>
        <v>91.7192</v>
      </c>
      <c r="V21" s="7"/>
      <c r="W21" s="27">
        <f t="shared" si="2"/>
        <v>-80.31192299999992</v>
      </c>
      <c r="X21" s="27" t="str">
        <f t="shared" si="3"/>
        <v>974.3589744</v>
      </c>
      <c r="Y21" s="27">
        <f t="shared" si="4"/>
        <v>-80.31192299999992</v>
      </c>
      <c r="Z21" s="27" t="str">
        <f t="shared" si="5"/>
        <v>974.3589744</v>
      </c>
      <c r="AA21" s="32">
        <f t="shared" si="6"/>
        <v>0.1631135583849855</v>
      </c>
      <c r="AB21" s="33">
        <f t="shared" si="7"/>
        <v>0.4173626932203619</v>
      </c>
      <c r="AC21" s="33">
        <v>0.5</v>
      </c>
      <c r="AD21" s="33">
        <f t="shared" si="8"/>
        <v>0.5778707098133302</v>
      </c>
      <c r="AE21" s="33">
        <f t="shared" si="9"/>
        <v>1</v>
      </c>
      <c r="AF21" s="33">
        <f t="shared" si="10"/>
        <v>-999</v>
      </c>
      <c r="AG21" s="33">
        <f t="shared" si="11"/>
        <v>0.4399274524021722</v>
      </c>
      <c r="AH21" s="33">
        <f t="shared" si="12"/>
        <v>-999</v>
      </c>
      <c r="AI21" s="34">
        <f t="shared" si="13"/>
        <v>0.42860052137099125</v>
      </c>
      <c r="AJ21" s="4">
        <v>17.765987247785823</v>
      </c>
      <c r="AK21" s="32">
        <f t="shared" si="14"/>
        <v>-999</v>
      </c>
      <c r="AL21" s="34">
        <f t="shared" si="15"/>
        <v>-999</v>
      </c>
      <c r="AY21" s="103" t="s">
        <v>454</v>
      </c>
      <c r="AZ21" s="103" t="s">
        <v>753</v>
      </c>
      <c r="BA21" s="103" t="s">
        <v>181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109</v>
      </c>
      <c r="E22" s="38">
        <f>IF(LEFT(VLOOKUP($B22,'Indicator chart'!$D$1:$J$36,5,FALSE),1)=" "," ",VLOOKUP($B22,'Indicator chart'!$D$1:$J$36,5,FALSE))</f>
        <v>746.7799397095094</v>
      </c>
      <c r="F22" s="38">
        <f>IF(LEFT(VLOOKUP($B22,'Indicator chart'!$D$1:$J$36,6,FALSE),1)=" "," ",VLOOKUP($B22,'Indicator chart'!$D$1:$J$36,6,FALSE))</f>
        <v>613.1694978731343</v>
      </c>
      <c r="G22" s="38">
        <f>IF(LEFT(VLOOKUP($B22,'Indicator chart'!$D$1:$J$36,7,FALSE),1)=" "," ",VLOOKUP($B22,'Indicator chart'!$D$1:$J$36,7,FALSE))</f>
        <v>900.8493991368861</v>
      </c>
      <c r="H22" s="50">
        <f t="shared" si="0"/>
        <v>3</v>
      </c>
      <c r="I22" s="300" t="s">
        <v>616</v>
      </c>
      <c r="J22" s="300" t="s">
        <v>668</v>
      </c>
      <c r="K22" s="300" t="s">
        <v>688</v>
      </c>
      <c r="L22" s="300" t="s">
        <v>709</v>
      </c>
      <c r="M22" s="300" t="s">
        <v>730</v>
      </c>
      <c r="N22" s="80">
        <f>VLOOKUP('Hide - Control'!B$3,'All practice data'!A:CA,A22+29,FALSE)</f>
        <v>464.05436857876</v>
      </c>
      <c r="O22" s="80">
        <f>VLOOKUP('Hide - Control'!C$3,'All practice data'!A:CA,A22+29,FALSE)</f>
        <v>335.00369307827617</v>
      </c>
      <c r="P22" s="38">
        <f>VLOOKUP('Hide - Control'!$B$4,'All practice data'!B:BC,A22+2,FALSE)</f>
        <v>4183</v>
      </c>
      <c r="Q22" s="38">
        <f>VLOOKUP('Hide - Control'!$B$4,'All practice data'!B:BC,3,FALSE)</f>
        <v>901403</v>
      </c>
      <c r="R22" s="38">
        <f t="shared" si="21"/>
        <v>450.09661712822805</v>
      </c>
      <c r="S22" s="38">
        <f t="shared" si="22"/>
        <v>478.3348948031496</v>
      </c>
      <c r="T22" s="53" t="str">
        <f t="shared" si="19"/>
        <v>1028.277635</v>
      </c>
      <c r="U22" s="51" t="str">
        <f t="shared" si="20"/>
        <v>46.7199</v>
      </c>
      <c r="V22" s="7"/>
      <c r="W22" s="27">
        <f t="shared" si="2"/>
        <v>-137.62271759999982</v>
      </c>
      <c r="X22" s="27" t="str">
        <f t="shared" si="3"/>
        <v>1028.277635</v>
      </c>
      <c r="Y22" s="27">
        <f t="shared" si="4"/>
        <v>-137.62271759999982</v>
      </c>
      <c r="Z22" s="27" t="str">
        <f t="shared" si="5"/>
        <v>1028.277635</v>
      </c>
      <c r="AA22" s="32">
        <f t="shared" si="6"/>
        <v>0.1581118122049703</v>
      </c>
      <c r="AB22" s="33">
        <f t="shared" si="7"/>
        <v>0.4079364561811523</v>
      </c>
      <c r="AC22" s="33">
        <v>0.5</v>
      </c>
      <c r="AD22" s="33">
        <f t="shared" si="8"/>
        <v>0.6066660648336439</v>
      </c>
      <c r="AE22" s="33">
        <f t="shared" si="9"/>
        <v>1</v>
      </c>
      <c r="AF22" s="33">
        <f t="shared" si="10"/>
        <v>-999</v>
      </c>
      <c r="AG22" s="33">
        <f t="shared" si="11"/>
        <v>-999</v>
      </c>
      <c r="AH22" s="33">
        <f t="shared" si="12"/>
        <v>0.7585576720491246</v>
      </c>
      <c r="AI22" s="34">
        <f t="shared" si="13"/>
        <v>0.4053746185291926</v>
      </c>
      <c r="AJ22" s="4">
        <v>18.841982673167745</v>
      </c>
      <c r="AK22" s="32">
        <f t="shared" si="14"/>
        <v>-999</v>
      </c>
      <c r="AL22" s="34">
        <f t="shared" si="15"/>
        <v>0.7585576720491246</v>
      </c>
      <c r="AY22" s="103" t="s">
        <v>463</v>
      </c>
      <c r="AZ22" s="103" t="s">
        <v>754</v>
      </c>
      <c r="BA22" s="103" t="s">
        <v>181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54.80953685941354</v>
      </c>
      <c r="F23" s="38">
        <f>IF(LEFT(VLOOKUP($B23,'Indicator chart'!$D$1:$J$36,6,FALSE),1)=" "," ",VLOOKUP($B23,'Indicator chart'!$D$1:$J$36,6,FALSE))</f>
        <v>23.599839433130406</v>
      </c>
      <c r="G23" s="38">
        <f>IF(LEFT(VLOOKUP($B23,'Indicator chart'!$D$1:$J$36,7,FALSE),1)=" "," ",VLOOKUP($B23,'Indicator chart'!$D$1:$J$36,7,FALSE))</f>
        <v>108.00327138929322</v>
      </c>
      <c r="H23" s="50">
        <f t="shared" si="0"/>
        <v>2</v>
      </c>
      <c r="I23" s="300" t="s">
        <v>617</v>
      </c>
      <c r="J23" s="300" t="s">
        <v>669</v>
      </c>
      <c r="K23" s="300" t="s">
        <v>689</v>
      </c>
      <c r="L23" s="300" t="s">
        <v>710</v>
      </c>
      <c r="M23" s="300" t="s">
        <v>731</v>
      </c>
      <c r="N23" s="80">
        <f>VLOOKUP('Hide - Control'!B$3,'All practice data'!A:CA,A23+29,FALSE)</f>
        <v>87.97396946759662</v>
      </c>
      <c r="O23" s="80">
        <f>VLOOKUP('Hide - Control'!C$3,'All practice data'!A:CA,A23+29,FALSE)</f>
        <v>77.58854188249504</v>
      </c>
      <c r="P23" s="38">
        <f>VLOOKUP('Hide - Control'!$B$4,'All practice data'!B:BC,A23+2,FALSE)</f>
        <v>793</v>
      </c>
      <c r="Q23" s="38">
        <f>VLOOKUP('Hide - Control'!$B$4,'All practice data'!B:BC,3,FALSE)</f>
        <v>901403</v>
      </c>
      <c r="R23" s="38">
        <f t="shared" si="21"/>
        <v>81.95651989953903</v>
      </c>
      <c r="S23" s="38">
        <f t="shared" si="22"/>
        <v>94.31634896022977</v>
      </c>
      <c r="T23" s="53" t="str">
        <f t="shared" si="19"/>
        <v>235.8119792</v>
      </c>
      <c r="U23" s="51" t="str">
        <f t="shared" si="20"/>
        <v>4.27442</v>
      </c>
      <c r="V23" s="7"/>
      <c r="W23" s="27">
        <f t="shared" si="2"/>
        <v>-68.60371973999999</v>
      </c>
      <c r="X23" s="27" t="str">
        <f t="shared" si="3"/>
        <v>235.8119792</v>
      </c>
      <c r="Y23" s="27">
        <f t="shared" si="4"/>
        <v>-68.60371973999999</v>
      </c>
      <c r="Z23" s="27" t="str">
        <f t="shared" si="5"/>
        <v>235.8119792</v>
      </c>
      <c r="AA23" s="32">
        <f t="shared" si="6"/>
        <v>0.23940335532552218</v>
      </c>
      <c r="AB23" s="33">
        <f t="shared" si="7"/>
        <v>0.40393140021413904</v>
      </c>
      <c r="AC23" s="33">
        <v>0.5</v>
      </c>
      <c r="AD23" s="33">
        <f t="shared" si="8"/>
        <v>0.6030737395583019</v>
      </c>
      <c r="AE23" s="33">
        <f t="shared" si="9"/>
        <v>1</v>
      </c>
      <c r="AF23" s="33">
        <f t="shared" si="10"/>
        <v>-999</v>
      </c>
      <c r="AG23" s="33">
        <f t="shared" si="11"/>
        <v>0.4054102893810945</v>
      </c>
      <c r="AH23" s="33">
        <f t="shared" si="12"/>
        <v>-999</v>
      </c>
      <c r="AI23" s="34">
        <f t="shared" si="13"/>
        <v>0.48023890401036573</v>
      </c>
      <c r="AJ23" s="4">
        <v>19.917978098549675</v>
      </c>
      <c r="AK23" s="32">
        <f t="shared" si="14"/>
        <v>-999</v>
      </c>
      <c r="AL23" s="34">
        <f t="shared" si="15"/>
        <v>-999</v>
      </c>
      <c r="AY23" s="103" t="s">
        <v>451</v>
      </c>
      <c r="AZ23" s="103" t="s">
        <v>755</v>
      </c>
      <c r="BA23" s="103" t="s">
        <v>181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126</v>
      </c>
      <c r="E24" s="38">
        <f>IF(LEFT(VLOOKUP($B24,'Indicator chart'!$D$1:$J$36,5,FALSE),1)=" "," ",VLOOKUP($B24,'Indicator chart'!$D$1:$J$36,5,FALSE))</f>
        <v>863.2502055357633</v>
      </c>
      <c r="F24" s="38">
        <f>IF(LEFT(VLOOKUP($B24,'Indicator chart'!$D$1:$J$36,6,FALSE),1)=" "," ",VLOOKUP($B24,'Indicator chart'!$D$1:$J$36,6,FALSE))</f>
        <v>719.0967429728116</v>
      </c>
      <c r="G24" s="38">
        <f>IF(LEFT(VLOOKUP($B24,'Indicator chart'!$D$1:$J$36,7,FALSE),1)=" "," ",VLOOKUP($B24,'Indicator chart'!$D$1:$J$36,7,FALSE))</f>
        <v>1027.8196965901384</v>
      </c>
      <c r="H24" s="50">
        <f t="shared" si="0"/>
        <v>3</v>
      </c>
      <c r="I24" s="300" t="s">
        <v>618</v>
      </c>
      <c r="J24" s="300" t="s">
        <v>670</v>
      </c>
      <c r="K24" s="300" t="s">
        <v>690</v>
      </c>
      <c r="L24" s="300" t="s">
        <v>711</v>
      </c>
      <c r="M24" s="300" t="s">
        <v>732</v>
      </c>
      <c r="N24" s="80">
        <f>VLOOKUP('Hide - Control'!B$3,'All practice data'!A:CA,A24+29,FALSE)</f>
        <v>495.22799458177974</v>
      </c>
      <c r="O24" s="80">
        <f>VLOOKUP('Hide - Control'!C$3,'All practice data'!A:CA,A24+29,FALSE)</f>
        <v>348.7732030109763</v>
      </c>
      <c r="P24" s="38">
        <f>VLOOKUP('Hide - Control'!$B$4,'All practice data'!B:BC,A24+2,FALSE)</f>
        <v>4464</v>
      </c>
      <c r="Q24" s="38">
        <f>VLOOKUP('Hide - Control'!$B$4,'All practice data'!B:BC,3,FALSE)</f>
        <v>901403</v>
      </c>
      <c r="R24" s="38">
        <f t="shared" si="21"/>
        <v>480.8055557428792</v>
      </c>
      <c r="S24" s="38">
        <f t="shared" si="22"/>
        <v>509.97315478506323</v>
      </c>
      <c r="T24" s="53" t="str">
        <f t="shared" si="19"/>
        <v>1413.359148</v>
      </c>
      <c r="U24" s="51" t="str">
        <f t="shared" si="20"/>
        <v>51.2058</v>
      </c>
      <c r="V24" s="7"/>
      <c r="W24" s="27">
        <f t="shared" si="2"/>
        <v>-576.2840908000001</v>
      </c>
      <c r="X24" s="27" t="str">
        <f t="shared" si="3"/>
        <v>1413.359148</v>
      </c>
      <c r="Y24" s="27">
        <f t="shared" si="4"/>
        <v>-576.2840908000001</v>
      </c>
      <c r="Z24" s="27" t="str">
        <f t="shared" si="5"/>
        <v>1413.359148</v>
      </c>
      <c r="AA24" s="32">
        <f t="shared" si="6"/>
        <v>0.31537809319948923</v>
      </c>
      <c r="AB24" s="33">
        <f t="shared" si="7"/>
        <v>0.4396175807013227</v>
      </c>
      <c r="AC24" s="33">
        <v>0.5</v>
      </c>
      <c r="AD24" s="33">
        <f t="shared" si="8"/>
        <v>0.6137391854916096</v>
      </c>
      <c r="AE24" s="33">
        <f t="shared" si="9"/>
        <v>1</v>
      </c>
      <c r="AF24" s="33">
        <f t="shared" si="10"/>
        <v>-999</v>
      </c>
      <c r="AG24" s="33">
        <f t="shared" si="11"/>
        <v>-999</v>
      </c>
      <c r="AH24" s="33">
        <f t="shared" si="12"/>
        <v>0.7235137778790834</v>
      </c>
      <c r="AI24" s="34">
        <f t="shared" si="13"/>
        <v>0.46493626383436454</v>
      </c>
      <c r="AJ24" s="4">
        <v>20.99397352393159</v>
      </c>
      <c r="AK24" s="32">
        <f t="shared" si="14"/>
        <v>-999</v>
      </c>
      <c r="AL24" s="34">
        <f t="shared" si="15"/>
        <v>0.7235137778790834</v>
      </c>
      <c r="AY24" s="103" t="s">
        <v>439</v>
      </c>
      <c r="AZ24" s="103" t="s">
        <v>756</v>
      </c>
      <c r="BA24" s="103" t="s">
        <v>181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135</v>
      </c>
      <c r="E25" s="38">
        <f>IF(LEFT(VLOOKUP($B25,'Indicator chart'!$D$1:$J$36,5,FALSE),1)=" "," ",VLOOKUP($B25,'Indicator chart'!$D$1:$J$36,5,FALSE))</f>
        <v>924.9109345026035</v>
      </c>
      <c r="F25" s="38">
        <f>IF(LEFT(VLOOKUP($B25,'Indicator chart'!$D$1:$J$36,6,FALSE),1)=" "," ",VLOOKUP($B25,'Indicator chart'!$D$1:$J$36,6,FALSE))</f>
        <v>775.4641547877</v>
      </c>
      <c r="G25" s="38">
        <f>IF(LEFT(VLOOKUP($B25,'Indicator chart'!$D$1:$J$36,7,FALSE),1)=" "," ",VLOOKUP($B25,'Indicator chart'!$D$1:$J$36,7,FALSE))</f>
        <v>1094.7542972371866</v>
      </c>
      <c r="H25" s="50">
        <f t="shared" si="0"/>
        <v>3</v>
      </c>
      <c r="I25" s="300" t="s">
        <v>652</v>
      </c>
      <c r="J25" s="300" t="s">
        <v>671</v>
      </c>
      <c r="K25" s="300" t="s">
        <v>691</v>
      </c>
      <c r="L25" s="300" t="s">
        <v>712</v>
      </c>
      <c r="M25" s="300" t="s">
        <v>733</v>
      </c>
      <c r="N25" s="80">
        <f>VLOOKUP('Hide - Control'!B$3,'All practice data'!A:CA,A25+29,FALSE)</f>
        <v>748.1670240724737</v>
      </c>
      <c r="O25" s="80">
        <f>VLOOKUP('Hide - Control'!C$3,'All practice data'!A:CA,A25+29,FALSE)</f>
        <v>623.2878522577265</v>
      </c>
      <c r="P25" s="38">
        <f>VLOOKUP('Hide - Control'!$B$4,'All practice data'!B:BC,A25+2,FALSE)</f>
        <v>6744</v>
      </c>
      <c r="Q25" s="38">
        <f>VLOOKUP('Hide - Control'!$B$4,'All practice data'!B:BC,3,FALSE)</f>
        <v>901403</v>
      </c>
      <c r="R25" s="38">
        <f t="shared" si="21"/>
        <v>730.4158345800441</v>
      </c>
      <c r="S25" s="38">
        <f t="shared" si="22"/>
        <v>766.2406333899038</v>
      </c>
      <c r="T25" s="53" t="str">
        <f t="shared" si="19"/>
        <v>1312.335958</v>
      </c>
      <c r="U25" s="51" t="str">
        <f t="shared" si="20"/>
        <v>189.215</v>
      </c>
      <c r="V25" s="7"/>
      <c r="W25" s="27">
        <f t="shared" si="2"/>
        <v>186.93247040000006</v>
      </c>
      <c r="X25" s="27" t="str">
        <f t="shared" si="3"/>
        <v>1312.335958</v>
      </c>
      <c r="Y25" s="27">
        <f t="shared" si="4"/>
        <v>186.93247040000006</v>
      </c>
      <c r="Z25" s="27" t="str">
        <f t="shared" si="5"/>
        <v>1312.335958</v>
      </c>
      <c r="AA25" s="32">
        <f t="shared" si="6"/>
        <v>0.0020281877790050197</v>
      </c>
      <c r="AB25" s="33">
        <f t="shared" si="7"/>
        <v>0.3709982157513975</v>
      </c>
      <c r="AC25" s="33">
        <v>0.5</v>
      </c>
      <c r="AD25" s="33">
        <f t="shared" si="8"/>
        <v>0.635536189536152</v>
      </c>
      <c r="AE25" s="33">
        <f t="shared" si="9"/>
        <v>1</v>
      </c>
      <c r="AF25" s="33">
        <f t="shared" si="10"/>
        <v>-999</v>
      </c>
      <c r="AG25" s="33">
        <f t="shared" si="11"/>
        <v>-999</v>
      </c>
      <c r="AH25" s="33">
        <f t="shared" si="12"/>
        <v>0.6557456700941927</v>
      </c>
      <c r="AI25" s="34">
        <f t="shared" si="13"/>
        <v>0.38773238813066435</v>
      </c>
      <c r="AJ25" s="4">
        <v>22.06996894931352</v>
      </c>
      <c r="AK25" s="32">
        <f t="shared" si="14"/>
        <v>-999</v>
      </c>
      <c r="AL25" s="34">
        <f t="shared" si="15"/>
        <v>0.6557456700941927</v>
      </c>
      <c r="AY25" s="103" t="s">
        <v>464</v>
      </c>
      <c r="AZ25" s="103" t="s">
        <v>757</v>
      </c>
      <c r="BA25" s="103" t="s">
        <v>181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15</v>
      </c>
      <c r="E26" s="38">
        <f>IF(LEFT(VLOOKUP($B26,'Indicator chart'!$D$1:$J$36,5,FALSE),1)=" "," ",VLOOKUP($B26,'Indicator chart'!$D$1:$J$36,5,FALSE))</f>
        <v>102.76788161140038</v>
      </c>
      <c r="F26" s="38">
        <f>IF(LEFT(VLOOKUP($B26,'Indicator chart'!$D$1:$J$36,6,FALSE),1)=" "," ",VLOOKUP($B26,'Indicator chart'!$D$1:$J$36,6,FALSE))</f>
        <v>57.475810679099965</v>
      </c>
      <c r="G26" s="38">
        <f>IF(LEFT(VLOOKUP($B26,'Indicator chart'!$D$1:$J$36,7,FALSE),1)=" "," ",VLOOKUP($B26,'Indicator chart'!$D$1:$J$36,7,FALSE))</f>
        <v>169.51098922520822</v>
      </c>
      <c r="H26" s="50">
        <f t="shared" si="0"/>
        <v>1</v>
      </c>
      <c r="I26" s="300" t="s">
        <v>653</v>
      </c>
      <c r="J26" s="300" t="s">
        <v>672</v>
      </c>
      <c r="K26" s="300" t="s">
        <v>692</v>
      </c>
      <c r="L26" s="300" t="s">
        <v>713</v>
      </c>
      <c r="M26" s="300" t="s">
        <v>734</v>
      </c>
      <c r="N26" s="80">
        <f>VLOOKUP('Hide - Control'!B$3,'All practice data'!A:CA,A26+29,FALSE)</f>
        <v>334.03483236687697</v>
      </c>
      <c r="O26" s="80">
        <f>VLOOKUP('Hide - Control'!C$3,'All practice data'!A:CA,A26+29,FALSE)</f>
        <v>432.5467854266958</v>
      </c>
      <c r="P26" s="38">
        <f>VLOOKUP('Hide - Control'!$B$4,'All practice data'!B:BC,A26+2,FALSE)</f>
        <v>3011</v>
      </c>
      <c r="Q26" s="38">
        <f>VLOOKUP('Hide - Control'!$B$4,'All practice data'!B:BC,3,FALSE)</f>
        <v>901403</v>
      </c>
      <c r="R26" s="38">
        <f t="shared" si="21"/>
        <v>322.2087971920427</v>
      </c>
      <c r="S26" s="38">
        <f t="shared" si="22"/>
        <v>346.1839404240592</v>
      </c>
      <c r="T26" s="53" t="str">
        <f t="shared" si="19"/>
        <v>1101.321586</v>
      </c>
      <c r="U26" s="51" t="str">
        <f t="shared" si="20"/>
        <v>85.6604</v>
      </c>
      <c r="V26" s="7"/>
      <c r="W26" s="27">
        <f t="shared" si="2"/>
        <v>-495.10385700000006</v>
      </c>
      <c r="X26" s="27" t="str">
        <f t="shared" si="3"/>
        <v>1101.321586</v>
      </c>
      <c r="Y26" s="27">
        <f t="shared" si="4"/>
        <v>-495.10385700000006</v>
      </c>
      <c r="Z26" s="27" t="str">
        <f t="shared" si="5"/>
        <v>1101.321586</v>
      </c>
      <c r="AA26" s="32">
        <f t="shared" si="6"/>
        <v>0.3637904040846585</v>
      </c>
      <c r="AB26" s="33">
        <f t="shared" si="7"/>
        <v>0.39885898730317343</v>
      </c>
      <c r="AC26" s="33">
        <v>0.5</v>
      </c>
      <c r="AD26" s="33">
        <f t="shared" si="8"/>
        <v>0.5799102321122303</v>
      </c>
      <c r="AE26" s="33">
        <f t="shared" si="9"/>
        <v>1</v>
      </c>
      <c r="AF26" s="33">
        <f t="shared" si="10"/>
        <v>-999</v>
      </c>
      <c r="AG26" s="33">
        <f t="shared" si="11"/>
        <v>-999</v>
      </c>
      <c r="AH26" s="33">
        <f t="shared" si="12"/>
        <v>0.37450652094837633</v>
      </c>
      <c r="AI26" s="34">
        <f t="shared" si="13"/>
        <v>0.5810798408997142</v>
      </c>
      <c r="AJ26" s="4">
        <v>23.145964374695435</v>
      </c>
      <c r="AK26" s="32">
        <f t="shared" si="14"/>
        <v>0.37450652094837633</v>
      </c>
      <c r="AL26" s="34">
        <f t="shared" si="15"/>
        <v>-999</v>
      </c>
      <c r="AY26" s="103" t="s">
        <v>456</v>
      </c>
      <c r="AZ26" s="103" t="s">
        <v>758</v>
      </c>
      <c r="BA26" s="103" t="s">
        <v>181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106</v>
      </c>
      <c r="E27" s="38">
        <f>IF(LEFT(VLOOKUP($B27,'Indicator chart'!$D$1:$J$36,5,FALSE),1)=" "," ",VLOOKUP($B27,'Indicator chart'!$D$1:$J$36,5,FALSE))</f>
        <v>726.2263633872294</v>
      </c>
      <c r="F27" s="38">
        <f>IF(LEFT(VLOOKUP($B27,'Indicator chart'!$D$1:$J$36,6,FALSE),1)=" "," ",VLOOKUP($B27,'Indicator chart'!$D$1:$J$36,6,FALSE))</f>
        <v>594.5599358598441</v>
      </c>
      <c r="G27" s="38">
        <f>IF(LEFT(VLOOKUP($B27,'Indicator chart'!$D$1:$J$36,7,FALSE),1)=" "," ",VLOOKUP($B27,'Indicator chart'!$D$1:$J$36,7,FALSE))</f>
        <v>878.3604316121358</v>
      </c>
      <c r="H27" s="50">
        <f t="shared" si="0"/>
        <v>1</v>
      </c>
      <c r="I27" s="300" t="s">
        <v>654</v>
      </c>
      <c r="J27" s="300" t="s">
        <v>673</v>
      </c>
      <c r="K27" s="300" t="s">
        <v>693</v>
      </c>
      <c r="L27" s="300" t="s">
        <v>714</v>
      </c>
      <c r="M27" s="300" t="s">
        <v>735</v>
      </c>
      <c r="N27" s="80">
        <f>VLOOKUP('Hide - Control'!B$3,'All practice data'!A:CA,A27+29,FALSE)</f>
        <v>903.4804632334261</v>
      </c>
      <c r="O27" s="80">
        <f>VLOOKUP('Hide - Control'!C$3,'All practice data'!A:CA,A27+29,FALSE)</f>
        <v>1003.4847591501348</v>
      </c>
      <c r="P27" s="38">
        <f>VLOOKUP('Hide - Control'!$B$4,'All practice data'!B:BC,A27+2,FALSE)</f>
        <v>8144</v>
      </c>
      <c r="Q27" s="38">
        <f>VLOOKUP('Hide - Control'!$B$4,'All practice data'!B:BC,3,FALSE)</f>
        <v>901403</v>
      </c>
      <c r="R27" s="38">
        <f t="shared" si="21"/>
        <v>883.9631619862507</v>
      </c>
      <c r="S27" s="38">
        <f t="shared" si="22"/>
        <v>923.3200657557227</v>
      </c>
      <c r="T27" s="53" t="str">
        <f t="shared" si="19"/>
        <v>1713.796058</v>
      </c>
      <c r="U27" s="51" t="str">
        <f t="shared" si="20"/>
        <v>257.216</v>
      </c>
      <c r="V27" s="7"/>
      <c r="W27" s="27">
        <f t="shared" si="2"/>
        <v>51.968315600000096</v>
      </c>
      <c r="X27" s="27" t="str">
        <f t="shared" si="3"/>
        <v>1713.796058</v>
      </c>
      <c r="Y27" s="27">
        <f t="shared" si="4"/>
        <v>51.968315600000096</v>
      </c>
      <c r="Z27" s="27" t="str">
        <f t="shared" si="5"/>
        <v>1713.796058</v>
      </c>
      <c r="AA27" s="32">
        <f t="shared" si="6"/>
        <v>0.12350719582017729</v>
      </c>
      <c r="AB27" s="33">
        <f t="shared" si="7"/>
        <v>0.384235873194555</v>
      </c>
      <c r="AC27" s="33">
        <v>0.5</v>
      </c>
      <c r="AD27" s="33">
        <f t="shared" si="8"/>
        <v>0.6101698602862367</v>
      </c>
      <c r="AE27" s="33">
        <f t="shared" si="9"/>
        <v>1</v>
      </c>
      <c r="AF27" s="33">
        <f t="shared" si="10"/>
        <v>-999</v>
      </c>
      <c r="AG27" s="33">
        <f t="shared" si="11"/>
        <v>-999</v>
      </c>
      <c r="AH27" s="33">
        <f t="shared" si="12"/>
        <v>0.4057328148905919</v>
      </c>
      <c r="AI27" s="34">
        <f t="shared" si="13"/>
        <v>0.5725722463725159</v>
      </c>
      <c r="AJ27" s="4">
        <v>24.221959800077364</v>
      </c>
      <c r="AK27" s="32">
        <f t="shared" si="14"/>
        <v>0.4057328148905919</v>
      </c>
      <c r="AL27" s="34">
        <f t="shared" si="15"/>
        <v>-999</v>
      </c>
      <c r="AY27" s="103" t="s">
        <v>442</v>
      </c>
      <c r="AZ27" s="103" t="s">
        <v>759</v>
      </c>
      <c r="BA27" s="103" t="s">
        <v>181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95</v>
      </c>
      <c r="E28" s="38">
        <f>IF(LEFT(VLOOKUP($B28,'Indicator chart'!$D$1:$J$36,5,FALSE),1)=" "," ",VLOOKUP($B28,'Indicator chart'!$D$1:$J$36,5,FALSE))</f>
        <v>650.8632502055358</v>
      </c>
      <c r="F28" s="38">
        <f>IF(LEFT(VLOOKUP($B28,'Indicator chart'!$D$1:$J$36,6,FALSE),1)=" "," ",VLOOKUP($B28,'Indicator chart'!$D$1:$J$36,6,FALSE))</f>
        <v>526.5718305505188</v>
      </c>
      <c r="G28" s="38">
        <f>IF(LEFT(VLOOKUP($B28,'Indicator chart'!$D$1:$J$36,7,FALSE),1)=" "," ",VLOOKUP($B28,'Indicator chart'!$D$1:$J$36,7,FALSE))</f>
        <v>795.6572854558593</v>
      </c>
      <c r="H28" s="50">
        <f t="shared" si="0"/>
        <v>2</v>
      </c>
      <c r="I28" s="300" t="s">
        <v>655</v>
      </c>
      <c r="J28" s="300" t="s">
        <v>674</v>
      </c>
      <c r="K28" s="300" t="s">
        <v>694</v>
      </c>
      <c r="L28" s="300" t="s">
        <v>715</v>
      </c>
      <c r="M28" s="300" t="s">
        <v>736</v>
      </c>
      <c r="N28" s="80">
        <f>VLOOKUP('Hide - Control'!B$3,'All practice data'!A:CA,A28+29,FALSE)</f>
        <v>614.9302809065424</v>
      </c>
      <c r="O28" s="80">
        <f>VLOOKUP('Hide - Control'!C$3,'All practice data'!A:CA,A28+29,FALSE)</f>
        <v>586.9262672471904</v>
      </c>
      <c r="P28" s="38">
        <f>VLOOKUP('Hide - Control'!$B$4,'All practice data'!B:BC,A28+2,FALSE)</f>
        <v>5543</v>
      </c>
      <c r="Q28" s="38">
        <f>VLOOKUP('Hide - Control'!$B$4,'All practice data'!B:BC,3,FALSE)</f>
        <v>901403</v>
      </c>
      <c r="R28" s="38">
        <f>100000*(P28*(1-1/(9*P28)-1.96/(3*SQRT(P28)))^3)/Q28</f>
        <v>598.8469847293732</v>
      </c>
      <c r="S28" s="38">
        <f>100000*((P28+1)*(1-1/(9*(P28+1))+1.96/(3*SQRT(P28+1)))^3)/Q28</f>
        <v>631.3361325431403</v>
      </c>
      <c r="T28" s="53" t="str">
        <f t="shared" si="19"/>
        <v>1249.290176</v>
      </c>
      <c r="U28" s="51" t="str">
        <f t="shared" si="20"/>
        <v>191.192</v>
      </c>
      <c r="V28" s="7"/>
      <c r="W28" s="27">
        <f t="shared" si="2"/>
        <v>-58.09169900000006</v>
      </c>
      <c r="X28" s="27" t="str">
        <f t="shared" si="3"/>
        <v>1249.290176</v>
      </c>
      <c r="Y28" s="27">
        <f t="shared" si="4"/>
        <v>-58.09169900000006</v>
      </c>
      <c r="Z28" s="27" t="str">
        <f t="shared" si="5"/>
        <v>1249.290176</v>
      </c>
      <c r="AA28" s="32">
        <f t="shared" si="6"/>
        <v>0.19067397503885394</v>
      </c>
      <c r="AB28" s="33">
        <f t="shared" si="7"/>
        <v>0.4165642281831389</v>
      </c>
      <c r="AC28" s="33">
        <v>0.5</v>
      </c>
      <c r="AD28" s="33">
        <f t="shared" si="8"/>
        <v>0.61114975783185</v>
      </c>
      <c r="AE28" s="33">
        <f t="shared" si="9"/>
        <v>1</v>
      </c>
      <c r="AF28" s="33">
        <f t="shared" si="10"/>
        <v>-999</v>
      </c>
      <c r="AG28" s="33">
        <f t="shared" si="11"/>
        <v>0.5422707494744302</v>
      </c>
      <c r="AH28" s="33">
        <f t="shared" si="12"/>
        <v>-999</v>
      </c>
      <c r="AI28" s="34">
        <f t="shared" si="13"/>
        <v>0.49336615305852427</v>
      </c>
      <c r="AJ28" s="4">
        <v>25.297955225459287</v>
      </c>
      <c r="AK28" s="32">
        <f t="shared" si="14"/>
        <v>-999</v>
      </c>
      <c r="AL28" s="34">
        <f t="shared" si="15"/>
        <v>-999</v>
      </c>
      <c r="AY28" s="103" t="s">
        <v>465</v>
      </c>
      <c r="AZ28" s="103" t="s">
        <v>760</v>
      </c>
      <c r="BA28" s="103" t="s">
        <v>181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13</v>
      </c>
      <c r="E29" s="38">
        <f>IF(LEFT(VLOOKUP($B29,'Indicator chart'!$D$1:$J$36,5,FALSE),1)=" "," ",VLOOKUP($B29,'Indicator chart'!$D$1:$J$36,5,FALSE))</f>
        <v>0.15476190476190477</v>
      </c>
      <c r="F29" s="38">
        <f>IF(LEFT(VLOOKUP($B29,'Indicator chart'!$D$1:$J$36,6,FALSE),1)=" "," ",VLOOKUP($B29,'Indicator chart'!$D$1:$J$36,6,FALSE))</f>
        <v>0.0927322280542013</v>
      </c>
      <c r="G29" s="38">
        <f>IF(LEFT(VLOOKUP($B29,'Indicator chart'!$D$1:$J$36,7,FALSE),1)=" "," ",VLOOKUP($B29,'Indicator chart'!$D$1:$J$36,7,FALSE))</f>
        <v>0.24698835991323098</v>
      </c>
      <c r="H29" s="50">
        <f t="shared" si="0"/>
        <v>2</v>
      </c>
      <c r="I29" s="300" t="s">
        <v>619</v>
      </c>
      <c r="J29" s="300" t="s">
        <v>675</v>
      </c>
      <c r="K29" s="300" t="s">
        <v>695</v>
      </c>
      <c r="L29" s="300" t="s">
        <v>716</v>
      </c>
      <c r="M29" s="300" t="s">
        <v>641</v>
      </c>
      <c r="N29" s="80">
        <f>VLOOKUP('Hide - Control'!B$3,'All practice data'!A:CA,A29+29,FALSE)</f>
        <v>0.21804360872174436</v>
      </c>
      <c r="O29" s="80">
        <f>VLOOKUP('Hide - Control'!C$3,'All practice data'!A:CA,A29+29,FALSE)</f>
        <v>0.2372068295675289</v>
      </c>
      <c r="P29" s="38">
        <f>VLOOKUP('Hide - Control'!$B$4,'All practice data'!B:BC,A29+2,FALSE)</f>
        <v>1090</v>
      </c>
      <c r="Q29" s="38">
        <f>VLOOKUP('Hide - Control'!$B$4,'All practice data'!B:BC,26,FALSE)+VLOOKUP('Hide - Control'!$B$4,'All practice data'!B:BC,27,FALSE)+VLOOKUP('Hide - Control'!$B$4,'All practice data'!B:BC,28,FALSE)</f>
        <v>4999</v>
      </c>
      <c r="R29" s="38">
        <f>+((2*P29+1.96^2-1.96*SQRT(1.96^2+4*P29*(1-P29/Q29)))/(2*(Q29+1.96^2)))</f>
        <v>0.206815841005248</v>
      </c>
      <c r="S29" s="38">
        <f>+((2*P29+1.96^2+1.96*SQRT(1.96^2+4*P29*(1-P29/Q29)))/(2*(Q29+1.96^2)))</f>
        <v>0.2297043958137631</v>
      </c>
      <c r="T29" s="53" t="str">
        <f t="shared" si="19"/>
        <v>0.433333</v>
      </c>
      <c r="U29" s="51" t="str">
        <f t="shared" si="20"/>
        <v>0.0350981</v>
      </c>
      <c r="V29" s="7"/>
      <c r="W29" s="27">
        <f t="shared" si="2"/>
        <v>0.0035988180000000036</v>
      </c>
      <c r="X29" s="27" t="str">
        <f t="shared" si="3"/>
        <v>0.433333</v>
      </c>
      <c r="Y29" s="27">
        <f t="shared" si="4"/>
        <v>0.0035988180000000036</v>
      </c>
      <c r="Z29" s="27" t="str">
        <f t="shared" si="5"/>
        <v>0.433333</v>
      </c>
      <c r="AA29" s="32">
        <f t="shared" si="6"/>
        <v>0.07329945654637265</v>
      </c>
      <c r="AB29" s="33">
        <f t="shared" si="7"/>
        <v>0.35904967643462904</v>
      </c>
      <c r="AC29" s="33">
        <v>0.5</v>
      </c>
      <c r="AD29" s="33">
        <f t="shared" si="8"/>
        <v>0.6201982950474254</v>
      </c>
      <c r="AE29" s="33">
        <f t="shared" si="9"/>
        <v>1</v>
      </c>
      <c r="AF29" s="33">
        <f t="shared" si="10"/>
        <v>-999</v>
      </c>
      <c r="AG29" s="33">
        <f t="shared" si="11"/>
        <v>0.3517595134238234</v>
      </c>
      <c r="AH29" s="33">
        <f t="shared" si="12"/>
        <v>-999</v>
      </c>
      <c r="AI29" s="34">
        <f t="shared" si="13"/>
        <v>0.543610495400454</v>
      </c>
      <c r="AJ29" s="4">
        <v>26.373950650841206</v>
      </c>
      <c r="AK29" s="32">
        <f t="shared" si="14"/>
        <v>-999</v>
      </c>
      <c r="AL29" s="34">
        <f t="shared" si="15"/>
        <v>-999</v>
      </c>
      <c r="AY29" s="103" t="s">
        <v>385</v>
      </c>
      <c r="AZ29" s="103" t="s">
        <v>761</v>
      </c>
      <c r="BA29" s="103" t="s">
        <v>181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49</v>
      </c>
      <c r="E30" s="38">
        <f>IF(LEFT(VLOOKUP($B30,'Indicator chart'!$D$1:$J$36,5,FALSE),1)=" "," ",VLOOKUP($B30,'Indicator chart'!$D$1:$J$36,5,FALSE))</f>
        <v>0.5833333333333334</v>
      </c>
      <c r="F30" s="38">
        <f>IF(LEFT(VLOOKUP($B30,'Indicator chart'!$D$1:$J$36,6,FALSE),1)=" "," ",VLOOKUP($B30,'Indicator chart'!$D$1:$J$36,6,FALSE))</f>
        <v>0.47652448676126635</v>
      </c>
      <c r="G30" s="38">
        <f>IF(LEFT(VLOOKUP($B30,'Indicator chart'!$D$1:$J$36,7,FALSE),1)=" "," ",VLOOKUP($B30,'Indicator chart'!$D$1:$J$36,7,FALSE))</f>
        <v>0.682853302350043</v>
      </c>
      <c r="H30" s="50">
        <f t="shared" si="0"/>
        <v>2</v>
      </c>
      <c r="I30" s="300" t="s">
        <v>620</v>
      </c>
      <c r="J30" s="300" t="s">
        <v>676</v>
      </c>
      <c r="K30" s="300" t="s">
        <v>696</v>
      </c>
      <c r="L30" s="300" t="s">
        <v>717</v>
      </c>
      <c r="M30" s="300" t="s">
        <v>624</v>
      </c>
      <c r="N30" s="80">
        <f>VLOOKUP('Hide - Control'!B$3,'All practice data'!A:CA,A30+29,FALSE)</f>
        <v>0.5187037407481496</v>
      </c>
      <c r="O30" s="80">
        <f>VLOOKUP('Hide - Control'!C$3,'All practice data'!A:CA,A30+29,FALSE)</f>
        <v>0.4919047132195072</v>
      </c>
      <c r="P30" s="38">
        <f>VLOOKUP('Hide - Control'!$B$4,'All practice data'!B:BC,A30+2,FALSE)</f>
        <v>2593</v>
      </c>
      <c r="Q30" s="38">
        <f>VLOOKUP('Hide - Control'!$B$4,'All practice data'!B:BC,26,FALSE)+VLOOKUP('Hide - Control'!$B$4,'All practice data'!B:BC,27,FALSE)+VLOOKUP('Hide - Control'!$B$4,'All practice data'!B:BC,28,FALSE)</f>
        <v>4999</v>
      </c>
      <c r="R30" s="38">
        <f>+((2*P30+1.96^2-1.96*SQRT(1.96^2+4*P30*(1-P30/Q30)))/(2*(Q30+1.96^2)))</f>
        <v>0.5048437121008814</v>
      </c>
      <c r="S30" s="38">
        <f>+((2*P30+1.96^2+1.96*SQRT(1.96^2+4*P30*(1-P30/Q30)))/(2*(Q30+1.96^2)))</f>
        <v>0.5325350448039944</v>
      </c>
      <c r="T30" s="53" t="str">
        <f t="shared" si="19"/>
        <v>0.785714</v>
      </c>
      <c r="U30" s="51" t="str">
        <f t="shared" si="20"/>
        <v>0.178051</v>
      </c>
      <c r="V30" s="7"/>
      <c r="W30" s="27" t="str">
        <f t="shared" si="2"/>
        <v>0.178051</v>
      </c>
      <c r="X30" s="27">
        <f t="shared" si="3"/>
        <v>0.8522798819999999</v>
      </c>
      <c r="Y30" s="27" t="str">
        <f t="shared" si="4"/>
        <v>0.178051</v>
      </c>
      <c r="Z30" s="27">
        <f t="shared" si="5"/>
        <v>0.8522798819999999</v>
      </c>
      <c r="AA30" s="32">
        <f t="shared" si="6"/>
        <v>0</v>
      </c>
      <c r="AB30" s="33">
        <f t="shared" si="7"/>
        <v>0.41843414533523354</v>
      </c>
      <c r="AC30" s="33">
        <v>0.5</v>
      </c>
      <c r="AD30" s="33">
        <f t="shared" si="8"/>
        <v>0.5874209093878598</v>
      </c>
      <c r="AE30" s="33">
        <f t="shared" si="9"/>
        <v>0.901271090905299</v>
      </c>
      <c r="AF30" s="33">
        <f t="shared" si="10"/>
        <v>-999</v>
      </c>
      <c r="AG30" s="33">
        <f t="shared" si="11"/>
        <v>0.601104972144064</v>
      </c>
      <c r="AH30" s="33">
        <f t="shared" si="12"/>
        <v>-999</v>
      </c>
      <c r="AI30" s="34">
        <f t="shared" si="13"/>
        <v>0.4655002501353942</v>
      </c>
      <c r="AJ30" s="4">
        <v>27.44994607622313</v>
      </c>
      <c r="AK30" s="32">
        <f t="shared" si="14"/>
        <v>-999</v>
      </c>
      <c r="AL30" s="34">
        <f t="shared" si="15"/>
        <v>-999</v>
      </c>
      <c r="AY30" s="103" t="s">
        <v>446</v>
      </c>
      <c r="AZ30" s="103" t="s">
        <v>762</v>
      </c>
      <c r="BA30" s="103" t="s">
        <v>181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22</v>
      </c>
      <c r="E31" s="38">
        <f>IF(LEFT(VLOOKUP($B31,'Indicator chart'!$D$1:$J$39,5,FALSE),1)=" "," ",VLOOKUP($B31,'Indicator chart'!$D$1:$J$39,5,FALSE))</f>
        <v>0.2619047619047619</v>
      </c>
      <c r="F31" s="38">
        <f>IF(LEFT(VLOOKUP($B31,'Indicator chart'!$D$1:$J$39,6,FALSE),1)=" "," ",VLOOKUP($B31,'Indicator chart'!$D$1:$J$39,6,FALSE))</f>
        <v>0.1797835031577335</v>
      </c>
      <c r="G31" s="38">
        <f>IF(LEFT(VLOOKUP($B31,'Indicator chart'!$D$1:$J$39,7,FALSE),1)=" "," ",VLOOKUP($B31,'Indicator chart'!$D$1:$J$39,7,FALSE))</f>
        <v>0.36485138509566806</v>
      </c>
      <c r="H31" s="50">
        <f t="shared" si="0"/>
        <v>2</v>
      </c>
      <c r="I31" s="300" t="s">
        <v>621</v>
      </c>
      <c r="J31" s="300" t="s">
        <v>634</v>
      </c>
      <c r="K31" s="300" t="s">
        <v>629</v>
      </c>
      <c r="L31" s="300" t="s">
        <v>718</v>
      </c>
      <c r="M31" s="300" t="s">
        <v>640</v>
      </c>
      <c r="N31" s="80">
        <f>VLOOKUP('Hide - Control'!B$3,'All practice data'!A:CA,A31+29,FALSE)</f>
        <v>0.26325265053010605</v>
      </c>
      <c r="O31" s="80">
        <f>VLOOKUP('Hide - Control'!C$3,'All practice data'!A:CA,A31+29,FALSE)</f>
        <v>0.2708884572129639</v>
      </c>
      <c r="P31" s="38">
        <f>VLOOKUP('Hide - Control'!$B$4,'All practice data'!B:BC,A31+2,FALSE)</f>
        <v>1316</v>
      </c>
      <c r="Q31" s="38">
        <f>VLOOKUP('Hide - Control'!$B$4,'All practice data'!B:BC,26,FALSE)+VLOOKUP('Hide - Control'!$B$4,'All practice data'!B:BC,27,FALSE)+VLOOKUP('Hide - Control'!$B$4,'All practice data'!B:BC,28,FALSE)</f>
        <v>4999</v>
      </c>
      <c r="R31" s="38">
        <f>+((2*P31+1.96^2-1.96*SQRT(1.96^2+4*P31*(1-P31/Q31)))/(2*(Q31+1.96^2)))</f>
        <v>0.2512293392627751</v>
      </c>
      <c r="S31" s="38">
        <f>+((2*P31+1.96^2+1.96*SQRT(1.96^2+4*P31*(1-P31/Q31)))/(2*(Q31+1.96^2)))</f>
        <v>0.27563955060973266</v>
      </c>
      <c r="T31" s="53" t="str">
        <f t="shared" si="19"/>
        <v>0.52381</v>
      </c>
      <c r="U31" s="51" t="str">
        <f t="shared" si="20"/>
        <v>0.0521808</v>
      </c>
      <c r="V31" s="7"/>
      <c r="W31" s="27">
        <f t="shared" si="2"/>
        <v>-0.023809999999999998</v>
      </c>
      <c r="X31" s="27" t="str">
        <f t="shared" si="3"/>
        <v>0.52381</v>
      </c>
      <c r="Y31" s="27">
        <f t="shared" si="4"/>
        <v>-0.023809999999999998</v>
      </c>
      <c r="Z31" s="27" t="str">
        <f t="shared" si="5"/>
        <v>0.52381</v>
      </c>
      <c r="AA31" s="32">
        <f t="shared" si="6"/>
        <v>0.13876556736423068</v>
      </c>
      <c r="AB31" s="33">
        <f t="shared" si="7"/>
        <v>0.38895436434023595</v>
      </c>
      <c r="AC31" s="33">
        <v>0.5</v>
      </c>
      <c r="AD31" s="33">
        <f t="shared" si="8"/>
        <v>0.648634726635258</v>
      </c>
      <c r="AE31" s="33">
        <f t="shared" si="9"/>
        <v>1</v>
      </c>
      <c r="AF31" s="33">
        <f>IF(E31=" ",-999,IF(H31=4,(E31-$Y31)/($Z31-$Y31),-999))</f>
        <v>-999</v>
      </c>
      <c r="AG31" s="33">
        <f t="shared" si="11"/>
        <v>0.521739092627665</v>
      </c>
      <c r="AH31" s="33">
        <f t="shared" si="12"/>
        <v>-999</v>
      </c>
      <c r="AI31" s="34">
        <f t="shared" si="13"/>
        <v>0.5381440729209377</v>
      </c>
      <c r="AJ31" s="4">
        <v>28.525941501605054</v>
      </c>
      <c r="AK31" s="32">
        <f t="shared" si="14"/>
        <v>-999</v>
      </c>
      <c r="AL31" s="34">
        <f t="shared" si="15"/>
        <v>-999</v>
      </c>
      <c r="AY31" s="103" t="s">
        <v>450</v>
      </c>
      <c r="AZ31" s="103" t="s">
        <v>763</v>
      </c>
      <c r="BA31" s="103" t="s">
        <v>181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460</v>
      </c>
      <c r="AZ32" s="103" t="s">
        <v>764</v>
      </c>
      <c r="BA32" s="103" t="s">
        <v>181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462</v>
      </c>
      <c r="AZ33" s="103" t="s">
        <v>765</v>
      </c>
      <c r="BA33" s="103" t="s">
        <v>181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438</v>
      </c>
      <c r="AZ34" s="103" t="s">
        <v>766</v>
      </c>
      <c r="BA34" s="103" t="s">
        <v>181</v>
      </c>
      <c r="BB34" s="298">
        <v>174182</v>
      </c>
      <c r="BE34" s="77"/>
      <c r="BF34" s="250"/>
    </row>
    <row r="35" spans="2:58" ht="12.75">
      <c r="B35" s="17" t="s">
        <v>41</v>
      </c>
      <c r="C35" s="18"/>
      <c r="H35" s="287" t="s">
        <v>380</v>
      </c>
      <c r="I35" s="288"/>
      <c r="Y35" s="43"/>
      <c r="Z35" s="44"/>
      <c r="AA35" s="44"/>
      <c r="AB35" s="43"/>
      <c r="AC35" s="43"/>
      <c r="AY35" s="103" t="s">
        <v>447</v>
      </c>
      <c r="AZ35" s="103" t="s">
        <v>767</v>
      </c>
      <c r="BA35" s="103" t="s">
        <v>181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448</v>
      </c>
      <c r="AZ36" s="103" t="s">
        <v>768</v>
      </c>
      <c r="BA36" s="103" t="s">
        <v>181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466</v>
      </c>
      <c r="AZ37" s="103" t="s">
        <v>769</v>
      </c>
      <c r="BA37" s="103" t="s">
        <v>181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445</v>
      </c>
      <c r="AZ38" s="103" t="s">
        <v>770</v>
      </c>
      <c r="BA38" s="103" t="s">
        <v>181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467</v>
      </c>
      <c r="AZ39" s="103" t="s">
        <v>771</v>
      </c>
      <c r="BA39" s="103" t="s">
        <v>181</v>
      </c>
      <c r="BB39" s="298">
        <v>240654</v>
      </c>
      <c r="BE39" s="70"/>
      <c r="BF39" s="238"/>
    </row>
    <row r="40" spans="1:58" ht="12.75">
      <c r="A40" s="3"/>
      <c r="B40" s="71"/>
      <c r="C40" s="3"/>
      <c r="T40" s="13"/>
      <c r="U40" s="2"/>
      <c r="W40" s="2"/>
      <c r="X40" s="10"/>
      <c r="Y40" s="44"/>
      <c r="Z40" s="44"/>
      <c r="AA40" s="44"/>
      <c r="AB40" s="44"/>
      <c r="AC40" s="44"/>
      <c r="AD40" s="2"/>
      <c r="AE40" s="2"/>
      <c r="AY40" s="103" t="s">
        <v>468</v>
      </c>
      <c r="AZ40" s="103" t="s">
        <v>772</v>
      </c>
      <c r="BA40" s="103" t="s">
        <v>181</v>
      </c>
      <c r="BB40" s="298">
        <v>231440</v>
      </c>
      <c r="BF40" s="249"/>
    </row>
    <row r="41" spans="1:58" ht="12.75">
      <c r="A41" s="3"/>
      <c r="B41" s="71"/>
      <c r="C41" s="3"/>
      <c r="T41" s="13"/>
      <c r="U41" s="2"/>
      <c r="W41" s="2"/>
      <c r="X41" s="10"/>
      <c r="Y41" s="44"/>
      <c r="Z41" s="44"/>
      <c r="AA41" s="44"/>
      <c r="AB41" s="44"/>
      <c r="AC41" s="44"/>
      <c r="AD41" s="2"/>
      <c r="AE41" s="2"/>
      <c r="AY41" s="103" t="s">
        <v>443</v>
      </c>
      <c r="AZ41" s="103" t="s">
        <v>773</v>
      </c>
      <c r="BA41" s="103" t="s">
        <v>181</v>
      </c>
      <c r="BB41" s="298">
        <v>102110</v>
      </c>
      <c r="BE41" s="70"/>
      <c r="BF41" s="238"/>
    </row>
    <row r="42" spans="1:58" ht="12.75">
      <c r="A42" s="3"/>
      <c r="B42" s="45"/>
      <c r="C42" s="3"/>
      <c r="T42" s="13"/>
      <c r="U42" s="2"/>
      <c r="W42" s="2"/>
      <c r="X42" s="10"/>
      <c r="Y42" s="44"/>
      <c r="Z42" s="44"/>
      <c r="AA42" s="44"/>
      <c r="AB42" s="44"/>
      <c r="AC42" s="44"/>
      <c r="AD42" s="2"/>
      <c r="AE42" s="2"/>
      <c r="AY42" s="103" t="s">
        <v>441</v>
      </c>
      <c r="AZ42" s="103" t="s">
        <v>774</v>
      </c>
      <c r="BA42" s="103" t="s">
        <v>181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440</v>
      </c>
      <c r="AZ43" s="103" t="s">
        <v>775</v>
      </c>
      <c r="BA43" s="103" t="s">
        <v>181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455</v>
      </c>
      <c r="AZ44" s="103" t="s">
        <v>776</v>
      </c>
      <c r="BA44" s="103" t="s">
        <v>181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469</v>
      </c>
      <c r="AZ45" s="103" t="s">
        <v>777</v>
      </c>
      <c r="BA45" s="103" t="s">
        <v>181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457</v>
      </c>
      <c r="AZ46" s="103" t="s">
        <v>778</v>
      </c>
      <c r="BA46" s="103" t="s">
        <v>181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559</v>
      </c>
      <c r="AZ47" s="103" t="s">
        <v>779</v>
      </c>
      <c r="BA47" s="103" t="s">
        <v>181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504</v>
      </c>
      <c r="AZ48" s="103" t="s">
        <v>780</v>
      </c>
      <c r="BA48" s="103" t="s">
        <v>181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572</v>
      </c>
      <c r="AZ49" s="103" t="s">
        <v>781</v>
      </c>
      <c r="BA49" s="103" t="s">
        <v>181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516</v>
      </c>
      <c r="AZ50" s="103" t="s">
        <v>782</v>
      </c>
      <c r="BA50" s="103" t="s">
        <v>181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538</v>
      </c>
      <c r="AZ51" s="103" t="s">
        <v>783</v>
      </c>
      <c r="BA51" s="103" t="s">
        <v>181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529</v>
      </c>
      <c r="AZ52" s="103" t="s">
        <v>784</v>
      </c>
      <c r="BA52" s="103" t="s">
        <v>181</v>
      </c>
      <c r="BB52" s="298">
        <v>201657</v>
      </c>
      <c r="BF52" s="249"/>
    </row>
    <row r="53" spans="1:58" ht="12.75">
      <c r="A53" s="3"/>
      <c r="B53" s="12"/>
      <c r="C53" s="3"/>
      <c r="I53" s="11"/>
      <c r="J53" s="11"/>
      <c r="K53" s="11"/>
      <c r="L53" s="11"/>
      <c r="S53" s="11"/>
      <c r="U53" s="2"/>
      <c r="X53" s="2"/>
      <c r="Y53" s="2"/>
      <c r="Z53" s="2"/>
      <c r="AA53" s="2"/>
      <c r="AB53" s="2"/>
      <c r="AY53" s="103" t="s">
        <v>561</v>
      </c>
      <c r="AZ53" s="103" t="s">
        <v>785</v>
      </c>
      <c r="BA53" s="103" t="s">
        <v>181</v>
      </c>
      <c r="BB53" s="298">
        <v>118636</v>
      </c>
      <c r="BF53" s="249"/>
    </row>
    <row r="54" spans="1:58" ht="12.75">
      <c r="A54" s="3"/>
      <c r="B54" s="12"/>
      <c r="C54" s="3"/>
      <c r="I54" s="11"/>
      <c r="J54" s="11"/>
      <c r="K54" s="11"/>
      <c r="L54" s="11"/>
      <c r="S54" s="11"/>
      <c r="U54" s="2"/>
      <c r="X54" s="2"/>
      <c r="Y54" s="2"/>
      <c r="Z54" s="2"/>
      <c r="AA54" s="2"/>
      <c r="AB54" s="2"/>
      <c r="AY54" s="103" t="s">
        <v>576</v>
      </c>
      <c r="AZ54" s="103" t="s">
        <v>786</v>
      </c>
      <c r="BA54" s="103" t="s">
        <v>181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541</v>
      </c>
      <c r="AZ55" s="103" t="s">
        <v>787</v>
      </c>
      <c r="BA55" s="103" t="s">
        <v>181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562</v>
      </c>
      <c r="AZ56" s="103" t="s">
        <v>788</v>
      </c>
      <c r="BA56" s="103" t="s">
        <v>181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563</v>
      </c>
      <c r="AZ57" s="103" t="s">
        <v>789</v>
      </c>
      <c r="BA57" s="103" t="s">
        <v>181</v>
      </c>
      <c r="BB57" s="298">
        <v>359415</v>
      </c>
      <c r="BF57" s="249"/>
    </row>
    <row r="58" spans="1:58" ht="12.75">
      <c r="A58" s="3"/>
      <c r="B58" s="12"/>
      <c r="C58" s="3"/>
      <c r="E58" s="2"/>
      <c r="F58" s="2"/>
      <c r="G58" s="2"/>
      <c r="I58" s="11"/>
      <c r="J58" s="11"/>
      <c r="K58" s="11"/>
      <c r="L58" s="11"/>
      <c r="S58" s="11"/>
      <c r="T58" s="2"/>
      <c r="U58" s="2"/>
      <c r="X58" s="2"/>
      <c r="Y58" s="2"/>
      <c r="Z58" s="2"/>
      <c r="AA58" s="2"/>
      <c r="AB58" s="2"/>
      <c r="AY58" s="103" t="s">
        <v>560</v>
      </c>
      <c r="AZ58" s="103" t="s">
        <v>790</v>
      </c>
      <c r="BA58" s="103" t="s">
        <v>181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558</v>
      </c>
      <c r="AZ59" s="103" t="s">
        <v>791</v>
      </c>
      <c r="BA59" s="103" t="s">
        <v>181</v>
      </c>
      <c r="BB59" s="298">
        <v>159597</v>
      </c>
      <c r="BE59" s="70"/>
      <c r="BF59" s="236"/>
    </row>
    <row r="60" spans="1:58" ht="12.75">
      <c r="A60" s="3"/>
      <c r="B60" s="12"/>
      <c r="C60" s="3"/>
      <c r="G60" s="2"/>
      <c r="I60" s="11"/>
      <c r="J60" s="11"/>
      <c r="K60" s="11"/>
      <c r="L60" s="11"/>
      <c r="S60" s="11"/>
      <c r="T60" s="2"/>
      <c r="U60" s="2"/>
      <c r="X60" s="2"/>
      <c r="Y60" s="2"/>
      <c r="Z60" s="2"/>
      <c r="AA60" s="2"/>
      <c r="AB60" s="2"/>
      <c r="AY60" s="103" t="s">
        <v>512</v>
      </c>
      <c r="AZ60" s="103" t="s">
        <v>792</v>
      </c>
      <c r="BA60" s="103" t="s">
        <v>181</v>
      </c>
      <c r="BB60" s="298">
        <v>290050</v>
      </c>
      <c r="BE60" s="70"/>
      <c r="BF60" s="236"/>
    </row>
    <row r="61" spans="1:58" ht="12.75">
      <c r="A61" s="3"/>
      <c r="B61" s="12"/>
      <c r="C61" s="3"/>
      <c r="G61" s="2"/>
      <c r="I61" s="11"/>
      <c r="J61" s="2"/>
      <c r="K61" s="2"/>
      <c r="L61" s="2"/>
      <c r="S61" s="2"/>
      <c r="T61" s="2"/>
      <c r="U61" s="2"/>
      <c r="X61" s="2"/>
      <c r="Y61" s="2"/>
      <c r="Z61" s="2"/>
      <c r="AA61" s="2"/>
      <c r="AB61" s="2"/>
      <c r="AY61" s="103" t="s">
        <v>471</v>
      </c>
      <c r="AZ61" s="103" t="s">
        <v>793</v>
      </c>
      <c r="BA61" s="103" t="s">
        <v>181</v>
      </c>
      <c r="BB61" s="298">
        <v>258661</v>
      </c>
      <c r="BE61" s="70"/>
      <c r="BF61" s="236"/>
    </row>
    <row r="62" spans="1:58" ht="12.75">
      <c r="A62" s="3"/>
      <c r="B62" s="12"/>
      <c r="C62" s="3"/>
      <c r="G62" s="2"/>
      <c r="I62" s="11"/>
      <c r="J62" s="2"/>
      <c r="K62" s="2"/>
      <c r="L62" s="2"/>
      <c r="S62" s="2"/>
      <c r="T62" s="2"/>
      <c r="U62" s="2"/>
      <c r="X62" s="2"/>
      <c r="Y62" s="2"/>
      <c r="Z62" s="2"/>
      <c r="AA62" s="2"/>
      <c r="AB62" s="2"/>
      <c r="AY62" s="103" t="s">
        <v>545</v>
      </c>
      <c r="AZ62" s="103" t="s">
        <v>794</v>
      </c>
      <c r="BA62" s="103" t="s">
        <v>181</v>
      </c>
      <c r="BB62" s="298">
        <v>166624</v>
      </c>
      <c r="BE62" s="70"/>
      <c r="BF62" s="236"/>
    </row>
    <row r="63" spans="1:58" ht="12.75">
      <c r="A63" s="3"/>
      <c r="B63" s="12"/>
      <c r="C63" s="3"/>
      <c r="G63" s="2"/>
      <c r="I63" s="11"/>
      <c r="J63" s="2"/>
      <c r="K63" s="2"/>
      <c r="L63" s="2"/>
      <c r="S63" s="2"/>
      <c r="T63" s="2"/>
      <c r="U63" s="2"/>
      <c r="V63" s="13"/>
      <c r="X63" s="2"/>
      <c r="Y63" s="2"/>
      <c r="Z63" s="2"/>
      <c r="AA63" s="2"/>
      <c r="AB63" s="2"/>
      <c r="AY63" s="103" t="s">
        <v>527</v>
      </c>
      <c r="AZ63" s="103" t="s">
        <v>795</v>
      </c>
      <c r="BA63" s="103" t="s">
        <v>181</v>
      </c>
      <c r="BB63" s="298">
        <v>185008</v>
      </c>
      <c r="BE63" s="70"/>
      <c r="BF63" s="236"/>
    </row>
    <row r="64" spans="1:58" ht="12.75">
      <c r="A64" s="3"/>
      <c r="B64" s="12"/>
      <c r="C64" s="3"/>
      <c r="I64" s="11"/>
      <c r="V64" s="3"/>
      <c r="AY64" s="103" t="s">
        <v>556</v>
      </c>
      <c r="AZ64" s="103" t="s">
        <v>796</v>
      </c>
      <c r="BA64" s="103" t="s">
        <v>181</v>
      </c>
      <c r="BB64" s="298">
        <v>166721</v>
      </c>
      <c r="BE64" s="70"/>
      <c r="BF64" s="238"/>
    </row>
    <row r="65" spans="1:58" ht="12.75">
      <c r="A65" s="3"/>
      <c r="B65" s="12"/>
      <c r="C65" s="3"/>
      <c r="AY65" s="103" t="s">
        <v>540</v>
      </c>
      <c r="AZ65" s="103" t="s">
        <v>797</v>
      </c>
      <c r="BA65" s="103" t="s">
        <v>181</v>
      </c>
      <c r="BB65" s="298">
        <v>254708</v>
      </c>
      <c r="BE65" s="70"/>
      <c r="BF65" s="238"/>
    </row>
    <row r="66" spans="1:58" ht="12.75">
      <c r="A66" s="3"/>
      <c r="B66" s="12"/>
      <c r="C66" s="3"/>
      <c r="E66" s="2"/>
      <c r="F66" s="2"/>
      <c r="G66" s="2"/>
      <c r="V66" s="2"/>
      <c r="AY66" s="103" t="s">
        <v>543</v>
      </c>
      <c r="AZ66" s="103" t="s">
        <v>798</v>
      </c>
      <c r="BA66" s="103" t="s">
        <v>181</v>
      </c>
      <c r="BB66" s="298">
        <v>118017</v>
      </c>
      <c r="BE66" s="70"/>
      <c r="BF66" s="236"/>
    </row>
    <row r="67" spans="1:58" ht="12.75">
      <c r="A67" s="3"/>
      <c r="B67" s="12"/>
      <c r="C67" s="3"/>
      <c r="AY67" s="103" t="s">
        <v>537</v>
      </c>
      <c r="AZ67" s="103" t="s">
        <v>799</v>
      </c>
      <c r="BA67" s="103" t="s">
        <v>181</v>
      </c>
      <c r="BB67" s="298">
        <v>565185</v>
      </c>
      <c r="BE67" s="70"/>
      <c r="BF67" s="236"/>
    </row>
    <row r="68" spans="1:58" ht="12.75">
      <c r="A68" s="3"/>
      <c r="B68" s="12"/>
      <c r="C68" s="3"/>
      <c r="AY68" s="103" t="s">
        <v>557</v>
      </c>
      <c r="AZ68" s="103" t="s">
        <v>800</v>
      </c>
      <c r="BA68" s="103" t="s">
        <v>181</v>
      </c>
      <c r="BB68" s="298">
        <v>339389</v>
      </c>
      <c r="BF68" s="249"/>
    </row>
    <row r="69" spans="1:58" ht="12.75">
      <c r="A69" s="3"/>
      <c r="B69" s="12"/>
      <c r="C69" s="3"/>
      <c r="AY69" s="103" t="s">
        <v>564</v>
      </c>
      <c r="AZ69" s="103" t="s">
        <v>801</v>
      </c>
      <c r="BA69" s="103" t="s">
        <v>181</v>
      </c>
      <c r="BB69" s="298">
        <v>352792</v>
      </c>
      <c r="BE69" s="70"/>
      <c r="BF69" s="238"/>
    </row>
    <row r="70" spans="1:58" ht="12.75">
      <c r="A70" s="3"/>
      <c r="B70" s="12"/>
      <c r="C70" s="3"/>
      <c r="AY70" s="103" t="s">
        <v>571</v>
      </c>
      <c r="AZ70" s="103" t="s">
        <v>802</v>
      </c>
      <c r="BA70" s="103" t="s">
        <v>181</v>
      </c>
      <c r="BB70" s="298">
        <v>241613</v>
      </c>
      <c r="BE70" s="70"/>
      <c r="BF70" s="236"/>
    </row>
    <row r="71" spans="1:58" ht="12.75">
      <c r="A71" s="3"/>
      <c r="B71" s="12"/>
      <c r="C71" s="3"/>
      <c r="AY71" s="103" t="s">
        <v>614</v>
      </c>
      <c r="AZ71" s="103" t="s">
        <v>803</v>
      </c>
      <c r="BA71" s="103" t="s">
        <v>181</v>
      </c>
      <c r="BB71" s="298">
        <v>67686</v>
      </c>
      <c r="BE71" s="70"/>
      <c r="BF71" s="236"/>
    </row>
    <row r="72" spans="1:58" ht="12.75">
      <c r="A72" s="3"/>
      <c r="B72" s="12"/>
      <c r="C72" s="3"/>
      <c r="AY72" s="103" t="s">
        <v>567</v>
      </c>
      <c r="AZ72" s="103" t="s">
        <v>804</v>
      </c>
      <c r="BA72" s="103" t="s">
        <v>181</v>
      </c>
      <c r="BB72" s="298">
        <v>314664</v>
      </c>
      <c r="BE72" s="247"/>
      <c r="BF72" s="236"/>
    </row>
    <row r="73" spans="1:58" ht="12.75">
      <c r="A73" s="3"/>
      <c r="B73" s="12"/>
      <c r="C73" s="3"/>
      <c r="AY73" s="103" t="s">
        <v>539</v>
      </c>
      <c r="AZ73" s="103" t="s">
        <v>805</v>
      </c>
      <c r="BA73" s="103" t="s">
        <v>181</v>
      </c>
      <c r="BB73" s="298">
        <v>97292</v>
      </c>
      <c r="BE73" s="70"/>
      <c r="BF73" s="236"/>
    </row>
    <row r="74" spans="1:58" ht="12.75">
      <c r="A74" s="3"/>
      <c r="B74" s="12"/>
      <c r="C74" s="3"/>
      <c r="AY74" s="103" t="s">
        <v>566</v>
      </c>
      <c r="AZ74" s="103" t="s">
        <v>806</v>
      </c>
      <c r="BA74" s="103" t="s">
        <v>181</v>
      </c>
      <c r="BB74" s="298">
        <v>102317</v>
      </c>
      <c r="BE74" s="70"/>
      <c r="BF74" s="238"/>
    </row>
    <row r="75" spans="1:58" ht="12.75">
      <c r="A75" s="3"/>
      <c r="B75" s="12"/>
      <c r="C75" s="3"/>
      <c r="AY75" s="103" t="s">
        <v>483</v>
      </c>
      <c r="AZ75" s="103" t="s">
        <v>807</v>
      </c>
      <c r="BA75" s="103" t="s">
        <v>181</v>
      </c>
      <c r="BB75" s="298">
        <v>371595</v>
      </c>
      <c r="BE75" s="70"/>
      <c r="BF75" s="238"/>
    </row>
    <row r="76" spans="1:58" ht="12.75">
      <c r="A76" s="3"/>
      <c r="B76" s="12"/>
      <c r="C76" s="3"/>
      <c r="AY76" s="103" t="s">
        <v>569</v>
      </c>
      <c r="AZ76" s="103" t="s">
        <v>808</v>
      </c>
      <c r="BA76" s="103" t="s">
        <v>181</v>
      </c>
      <c r="BB76" s="298">
        <v>226047</v>
      </c>
      <c r="BE76" s="70"/>
      <c r="BF76" s="238"/>
    </row>
    <row r="77" spans="1:58" ht="12.75">
      <c r="A77" s="3"/>
      <c r="B77" s="12"/>
      <c r="C77" s="3"/>
      <c r="AY77" s="103" t="s">
        <v>531</v>
      </c>
      <c r="AZ77" s="103" t="s">
        <v>809</v>
      </c>
      <c r="BA77" s="103" t="s">
        <v>181</v>
      </c>
      <c r="BB77" s="298">
        <v>183762</v>
      </c>
      <c r="BE77" s="70"/>
      <c r="BF77" s="246"/>
    </row>
    <row r="78" spans="1:58" ht="12.75">
      <c r="A78" s="3"/>
      <c r="B78" s="12"/>
      <c r="C78" s="3"/>
      <c r="AY78" s="103" t="s">
        <v>549</v>
      </c>
      <c r="AZ78" s="103" t="s">
        <v>810</v>
      </c>
      <c r="BA78" s="103" t="s">
        <v>181</v>
      </c>
      <c r="BB78" s="298">
        <v>265437</v>
      </c>
      <c r="BE78" s="70"/>
      <c r="BF78" s="236"/>
    </row>
    <row r="79" spans="1:58" ht="12.75">
      <c r="A79" s="3"/>
      <c r="B79" s="12"/>
      <c r="C79" s="3"/>
      <c r="AY79" s="103" t="s">
        <v>473</v>
      </c>
      <c r="AZ79" s="103" t="s">
        <v>811</v>
      </c>
      <c r="BA79" s="103" t="s">
        <v>181</v>
      </c>
      <c r="BB79" s="298">
        <v>628635</v>
      </c>
      <c r="BF79" s="236"/>
    </row>
    <row r="80" spans="1:58" ht="12.75">
      <c r="A80" s="3"/>
      <c r="B80" s="12"/>
      <c r="C80" s="3"/>
      <c r="AY80" s="103" t="s">
        <v>575</v>
      </c>
      <c r="AZ80" s="103" t="s">
        <v>812</v>
      </c>
      <c r="BA80" s="103" t="s">
        <v>181</v>
      </c>
      <c r="BB80" s="298">
        <v>128014</v>
      </c>
      <c r="BF80" s="249"/>
    </row>
    <row r="81" spans="1:58" ht="12.75">
      <c r="A81" s="3"/>
      <c r="B81" s="12"/>
      <c r="C81" s="3"/>
      <c r="AY81" s="103" t="s">
        <v>565</v>
      </c>
      <c r="AZ81" s="103" t="s">
        <v>813</v>
      </c>
      <c r="BA81" s="103" t="s">
        <v>181</v>
      </c>
      <c r="BB81" s="298">
        <v>262238</v>
      </c>
      <c r="BF81" s="249"/>
    </row>
    <row r="82" spans="1:58" ht="12.75">
      <c r="A82" s="3"/>
      <c r="B82" s="12"/>
      <c r="C82" s="3"/>
      <c r="AY82" s="103" t="s">
        <v>574</v>
      </c>
      <c r="AZ82" s="103" t="s">
        <v>814</v>
      </c>
      <c r="BA82" s="103" t="s">
        <v>181</v>
      </c>
      <c r="BB82" s="298">
        <v>342743</v>
      </c>
      <c r="BF82" s="249"/>
    </row>
    <row r="83" spans="1:58" ht="12.75">
      <c r="A83" s="3"/>
      <c r="B83" s="12"/>
      <c r="C83" s="3"/>
      <c r="AY83" s="103" t="s">
        <v>472</v>
      </c>
      <c r="AZ83" s="103" t="s">
        <v>815</v>
      </c>
      <c r="BA83" s="103" t="s">
        <v>181</v>
      </c>
      <c r="BB83" s="298">
        <v>144732</v>
      </c>
      <c r="BE83" s="70"/>
      <c r="BF83" s="238"/>
    </row>
    <row r="84" spans="1:58" ht="12.75">
      <c r="A84" s="3"/>
      <c r="B84" s="12"/>
      <c r="C84" s="3"/>
      <c r="AY84" s="103" t="s">
        <v>573</v>
      </c>
      <c r="AZ84" s="103" t="s">
        <v>816</v>
      </c>
      <c r="BA84" s="103" t="s">
        <v>181</v>
      </c>
      <c r="BB84" s="298">
        <v>93461</v>
      </c>
      <c r="BE84" s="70"/>
      <c r="BF84" s="238"/>
    </row>
    <row r="85" spans="1:58" ht="12.75">
      <c r="A85" s="3"/>
      <c r="B85" s="12"/>
      <c r="C85" s="3"/>
      <c r="AY85" s="103" t="s">
        <v>568</v>
      </c>
      <c r="AZ85" s="103" t="s">
        <v>817</v>
      </c>
      <c r="BA85" s="103" t="s">
        <v>181</v>
      </c>
      <c r="BB85" s="298">
        <v>121763</v>
      </c>
      <c r="BE85" s="70"/>
      <c r="BF85" s="238"/>
    </row>
    <row r="86" spans="1:58" ht="12.75">
      <c r="A86" s="3"/>
      <c r="B86" s="12"/>
      <c r="C86" s="3"/>
      <c r="AY86" s="103" t="s">
        <v>523</v>
      </c>
      <c r="AZ86" s="103" t="s">
        <v>818</v>
      </c>
      <c r="BA86" s="103" t="s">
        <v>181</v>
      </c>
      <c r="BB86" s="298">
        <v>129209</v>
      </c>
      <c r="BE86" s="70"/>
      <c r="BF86" s="246"/>
    </row>
    <row r="87" spans="1:58" ht="12.75">
      <c r="A87" s="3"/>
      <c r="B87" s="12"/>
      <c r="C87" s="3"/>
      <c r="AY87" s="103" t="s">
        <v>526</v>
      </c>
      <c r="AZ87" s="103" t="s">
        <v>819</v>
      </c>
      <c r="BA87" s="103" t="s">
        <v>181</v>
      </c>
      <c r="BB87" s="298">
        <v>522776</v>
      </c>
      <c r="BE87" s="70"/>
      <c r="BF87" s="246"/>
    </row>
    <row r="88" spans="1:58" ht="12.75">
      <c r="A88" s="3"/>
      <c r="B88" s="12"/>
      <c r="C88" s="3"/>
      <c r="AY88" s="103" t="s">
        <v>494</v>
      </c>
      <c r="AZ88" s="103" t="s">
        <v>820</v>
      </c>
      <c r="BA88" s="103" t="s">
        <v>181</v>
      </c>
      <c r="BB88" s="298">
        <v>368905</v>
      </c>
      <c r="BE88" s="70"/>
      <c r="BF88" s="238"/>
    </row>
    <row r="89" spans="1:58" ht="12.75">
      <c r="A89" s="3"/>
      <c r="B89" s="12"/>
      <c r="C89" s="3"/>
      <c r="AY89" s="103" t="s">
        <v>420</v>
      </c>
      <c r="AZ89" s="103" t="s">
        <v>821</v>
      </c>
      <c r="BA89" s="103" t="s">
        <v>181</v>
      </c>
      <c r="BB89" s="298">
        <v>239319</v>
      </c>
      <c r="BE89" s="70"/>
      <c r="BF89" s="238"/>
    </row>
    <row r="90" spans="1:58" ht="12.75">
      <c r="A90" s="3"/>
      <c r="B90" s="12"/>
      <c r="C90" s="3"/>
      <c r="AY90" s="103" t="s">
        <v>423</v>
      </c>
      <c r="AZ90" s="103" t="s">
        <v>822</v>
      </c>
      <c r="BA90" s="103" t="s">
        <v>181</v>
      </c>
      <c r="BB90" s="298">
        <v>131791</v>
      </c>
      <c r="BE90" s="70"/>
      <c r="BF90" s="238"/>
    </row>
    <row r="91" spans="1:58" ht="12.75">
      <c r="A91" s="3"/>
      <c r="B91" s="12"/>
      <c r="C91" s="3"/>
      <c r="AY91" s="103" t="s">
        <v>431</v>
      </c>
      <c r="AZ91" s="103" t="s">
        <v>823</v>
      </c>
      <c r="BA91" s="103" t="s">
        <v>181</v>
      </c>
      <c r="BB91" s="298">
        <v>461070</v>
      </c>
      <c r="BE91" s="244"/>
      <c r="BF91" s="246"/>
    </row>
    <row r="92" spans="1:58" ht="12.75">
      <c r="A92" s="3"/>
      <c r="B92" s="12"/>
      <c r="C92" s="3"/>
      <c r="AY92" s="103" t="s">
        <v>435</v>
      </c>
      <c r="AZ92" s="103" t="s">
        <v>824</v>
      </c>
      <c r="BA92" s="103" t="s">
        <v>181</v>
      </c>
      <c r="BB92" s="298">
        <v>312763</v>
      </c>
      <c r="BE92" s="244"/>
      <c r="BF92" s="246"/>
    </row>
    <row r="93" spans="1:58" ht="12.75">
      <c r="A93" s="3"/>
      <c r="B93" s="12"/>
      <c r="C93" s="3"/>
      <c r="AY93" s="103" t="s">
        <v>428</v>
      </c>
      <c r="AZ93" s="103" t="s">
        <v>825</v>
      </c>
      <c r="BA93" s="103" t="s">
        <v>181</v>
      </c>
      <c r="BB93" s="298">
        <v>133795</v>
      </c>
      <c r="BF93" s="249"/>
    </row>
    <row r="94" spans="1:58" ht="12.75">
      <c r="A94" s="3"/>
      <c r="B94" s="12"/>
      <c r="C94" s="3"/>
      <c r="AY94" s="103" t="s">
        <v>417</v>
      </c>
      <c r="AZ94" s="103" t="s">
        <v>826</v>
      </c>
      <c r="BA94" s="103" t="s">
        <v>181</v>
      </c>
      <c r="BB94" s="298">
        <v>181868</v>
      </c>
      <c r="BE94" s="70"/>
      <c r="BF94" s="238"/>
    </row>
    <row r="95" spans="1:58" ht="12.75">
      <c r="A95" s="3"/>
      <c r="B95" s="12"/>
      <c r="C95" s="3"/>
      <c r="AY95" s="103" t="s">
        <v>425</v>
      </c>
      <c r="AZ95" s="103" t="s">
        <v>827</v>
      </c>
      <c r="BA95" s="103" t="s">
        <v>181</v>
      </c>
      <c r="BB95" s="298">
        <v>204306</v>
      </c>
      <c r="BE95" s="244"/>
      <c r="BF95" s="246"/>
    </row>
    <row r="96" spans="1:58" ht="12.75">
      <c r="A96" s="3"/>
      <c r="B96" s="12"/>
      <c r="C96" s="3"/>
      <c r="AY96" s="103" t="s">
        <v>429</v>
      </c>
      <c r="AZ96" s="103" t="s">
        <v>828</v>
      </c>
      <c r="BA96" s="103" t="s">
        <v>181</v>
      </c>
      <c r="BB96" s="298">
        <v>183653</v>
      </c>
      <c r="BE96" s="240"/>
      <c r="BF96" s="235"/>
    </row>
    <row r="97" spans="1:58" ht="12.75">
      <c r="A97" s="3"/>
      <c r="B97" s="12"/>
      <c r="C97" s="3"/>
      <c r="AY97" s="103" t="s">
        <v>416</v>
      </c>
      <c r="AZ97" s="103" t="s">
        <v>829</v>
      </c>
      <c r="BA97" s="103" t="s">
        <v>181</v>
      </c>
      <c r="BB97" s="298">
        <v>171390</v>
      </c>
      <c r="BE97" s="240"/>
      <c r="BF97" s="235"/>
    </row>
    <row r="98" spans="1:58" ht="12.75">
      <c r="A98" s="3"/>
      <c r="B98" s="12"/>
      <c r="C98" s="3"/>
      <c r="AY98" s="103" t="s">
        <v>433</v>
      </c>
      <c r="AZ98" s="103" t="s">
        <v>830</v>
      </c>
      <c r="BA98" s="103" t="s">
        <v>181</v>
      </c>
      <c r="BB98" s="298">
        <v>530073</v>
      </c>
      <c r="BE98" s="245"/>
      <c r="BF98" s="238"/>
    </row>
    <row r="99" spans="1:58" ht="12.75">
      <c r="A99" s="3"/>
      <c r="B99" s="12"/>
      <c r="C99" s="3"/>
      <c r="AY99" s="103" t="s">
        <v>422</v>
      </c>
      <c r="AZ99" s="103" t="s">
        <v>831</v>
      </c>
      <c r="BA99" s="103" t="s">
        <v>181</v>
      </c>
      <c r="BB99" s="298">
        <v>296370</v>
      </c>
      <c r="BE99" s="70"/>
      <c r="BF99" s="246"/>
    </row>
    <row r="100" spans="1:58" ht="12.75">
      <c r="A100" s="3"/>
      <c r="B100" s="12"/>
      <c r="C100" s="3"/>
      <c r="AY100" s="103" t="s">
        <v>434</v>
      </c>
      <c r="AZ100" s="103" t="s">
        <v>832</v>
      </c>
      <c r="BA100" s="103" t="s">
        <v>181</v>
      </c>
      <c r="BB100" s="298">
        <v>235280</v>
      </c>
      <c r="BE100" s="70"/>
      <c r="BF100" s="246"/>
    </row>
    <row r="101" spans="51:58" ht="12.75">
      <c r="AY101" s="103" t="s">
        <v>426</v>
      </c>
      <c r="AZ101" s="103" t="s">
        <v>833</v>
      </c>
      <c r="BA101" s="103" t="s">
        <v>181</v>
      </c>
      <c r="BB101" s="298">
        <v>208299</v>
      </c>
      <c r="BE101" s="234"/>
      <c r="BF101" s="235"/>
    </row>
    <row r="102" spans="51:58" ht="12.75">
      <c r="AY102" s="103" t="s">
        <v>430</v>
      </c>
      <c r="AZ102" s="103" t="s">
        <v>834</v>
      </c>
      <c r="BA102" s="103" t="s">
        <v>181</v>
      </c>
      <c r="BB102" s="298">
        <v>271512</v>
      </c>
      <c r="BE102" s="234"/>
      <c r="BF102" s="235"/>
    </row>
    <row r="103" spans="51:58" ht="12.75">
      <c r="AY103" s="103" t="s">
        <v>418</v>
      </c>
      <c r="AZ103" s="103" t="s">
        <v>835</v>
      </c>
      <c r="BA103" s="103" t="s">
        <v>181</v>
      </c>
      <c r="BB103" s="298">
        <v>292433</v>
      </c>
      <c r="BE103" s="70"/>
      <c r="BF103" s="236"/>
    </row>
    <row r="104" spans="51:58" ht="12.75">
      <c r="AY104" s="103" t="s">
        <v>427</v>
      </c>
      <c r="AZ104" s="103" t="s">
        <v>836</v>
      </c>
      <c r="BA104" s="103" t="s">
        <v>181</v>
      </c>
      <c r="BB104" s="298">
        <v>144593</v>
      </c>
      <c r="BF104" s="249"/>
    </row>
    <row r="105" spans="51:58" ht="12.75">
      <c r="AY105" s="103" t="s">
        <v>424</v>
      </c>
      <c r="AZ105" s="103" t="s">
        <v>837</v>
      </c>
      <c r="BA105" s="103" t="s">
        <v>181</v>
      </c>
      <c r="BB105" s="298">
        <v>278090</v>
      </c>
      <c r="BE105" s="234"/>
      <c r="BF105" s="235"/>
    </row>
    <row r="106" spans="51:58" ht="12.75">
      <c r="AY106" s="103" t="s">
        <v>421</v>
      </c>
      <c r="AZ106" s="103" t="s">
        <v>838</v>
      </c>
      <c r="BA106" s="103" t="s">
        <v>181</v>
      </c>
      <c r="BB106" s="298">
        <v>172024</v>
      </c>
      <c r="BF106" s="249"/>
    </row>
    <row r="107" spans="51:58" ht="12.75">
      <c r="AY107" s="103" t="s">
        <v>436</v>
      </c>
      <c r="AZ107" s="103" t="s">
        <v>839</v>
      </c>
      <c r="BA107" s="103" t="s">
        <v>181</v>
      </c>
      <c r="BB107" s="298">
        <v>268758</v>
      </c>
      <c r="BF107" s="249"/>
    </row>
    <row r="108" spans="51:58" ht="12.75">
      <c r="AY108" s="103" t="s">
        <v>437</v>
      </c>
      <c r="AZ108" s="103" t="s">
        <v>840</v>
      </c>
      <c r="BA108" s="103" t="s">
        <v>181</v>
      </c>
      <c r="BB108" s="298">
        <v>260354</v>
      </c>
      <c r="BE108" s="70"/>
      <c r="BF108" s="236"/>
    </row>
    <row r="109" spans="51:58" ht="12.75">
      <c r="AY109" s="103" t="s">
        <v>419</v>
      </c>
      <c r="AZ109" s="103" t="s">
        <v>841</v>
      </c>
      <c r="BA109" s="103" t="s">
        <v>181</v>
      </c>
      <c r="BB109" s="298">
        <v>112154</v>
      </c>
      <c r="BE109" s="234"/>
      <c r="BF109" s="235"/>
    </row>
    <row r="110" spans="51:58" ht="12.75">
      <c r="AY110" s="103" t="s">
        <v>495</v>
      </c>
      <c r="AZ110" s="103" t="s">
        <v>842</v>
      </c>
      <c r="BA110" s="103" t="s">
        <v>181</v>
      </c>
      <c r="BB110" s="298">
        <v>430680</v>
      </c>
      <c r="BE110" s="70"/>
      <c r="BF110" s="246"/>
    </row>
    <row r="111" spans="51:58" ht="12.75">
      <c r="AY111" s="103" t="s">
        <v>488</v>
      </c>
      <c r="AZ111" s="103" t="s">
        <v>843</v>
      </c>
      <c r="BA111" s="103" t="s">
        <v>181</v>
      </c>
      <c r="BB111" s="298">
        <v>861759</v>
      </c>
      <c r="BE111" s="70"/>
      <c r="BF111" s="236"/>
    </row>
    <row r="112" spans="51:58" ht="12.75">
      <c r="AY112" s="103" t="s">
        <v>577</v>
      </c>
      <c r="AZ112" s="103" t="s">
        <v>844</v>
      </c>
      <c r="BA112" s="103" t="s">
        <v>181</v>
      </c>
      <c r="BB112" s="298">
        <v>563052</v>
      </c>
      <c r="BE112" s="247"/>
      <c r="BF112" s="246"/>
    </row>
    <row r="113" spans="51:58" ht="12.75">
      <c r="AY113" s="103" t="s">
        <v>525</v>
      </c>
      <c r="AZ113" s="103" t="s">
        <v>845</v>
      </c>
      <c r="BA113" s="103" t="s">
        <v>181</v>
      </c>
      <c r="BB113" s="298">
        <v>387143</v>
      </c>
      <c r="BE113" s="70"/>
      <c r="BF113" s="238"/>
    </row>
    <row r="114" spans="51:58" ht="12.75">
      <c r="AY114" s="103" t="s">
        <v>485</v>
      </c>
      <c r="AZ114" s="103" t="s">
        <v>846</v>
      </c>
      <c r="BA114" s="103" t="s">
        <v>181</v>
      </c>
      <c r="BB114" s="298">
        <v>230830</v>
      </c>
      <c r="BF114" s="238"/>
    </row>
    <row r="115" spans="51:58" ht="12.75">
      <c r="AY115" s="103" t="s">
        <v>518</v>
      </c>
      <c r="AZ115" s="103" t="s">
        <v>847</v>
      </c>
      <c r="BA115" s="103" t="s">
        <v>181</v>
      </c>
      <c r="BB115" s="298">
        <v>597224</v>
      </c>
      <c r="BE115" s="245"/>
      <c r="BF115" s="238"/>
    </row>
    <row r="116" spans="51:58" ht="12.75">
      <c r="AY116" s="103" t="s">
        <v>533</v>
      </c>
      <c r="AZ116" s="103" t="s">
        <v>848</v>
      </c>
      <c r="BA116" s="103" t="s">
        <v>181</v>
      </c>
      <c r="BB116" s="298">
        <v>213020</v>
      </c>
      <c r="BE116" s="70"/>
      <c r="BF116" s="236"/>
    </row>
    <row r="117" spans="51:58" ht="12.75">
      <c r="AY117" s="103" t="s">
        <v>498</v>
      </c>
      <c r="AZ117" s="103" t="s">
        <v>849</v>
      </c>
      <c r="BA117" s="103" t="s">
        <v>181</v>
      </c>
      <c r="BB117" s="298">
        <v>379032</v>
      </c>
      <c r="BE117" s="234"/>
      <c r="BF117" s="235"/>
    </row>
    <row r="118" spans="51:58" ht="12.75">
      <c r="AY118" s="103" t="s">
        <v>507</v>
      </c>
      <c r="AZ118" s="103" t="s">
        <v>850</v>
      </c>
      <c r="BA118" s="103" t="s">
        <v>181</v>
      </c>
      <c r="BB118" s="298">
        <v>327531</v>
      </c>
      <c r="BE118" s="70"/>
      <c r="BF118" s="236"/>
    </row>
    <row r="119" spans="51:58" ht="12.75">
      <c r="AY119" s="103" t="s">
        <v>578</v>
      </c>
      <c r="AZ119" s="103" t="s">
        <v>851</v>
      </c>
      <c r="BA119" s="103" t="s">
        <v>181</v>
      </c>
      <c r="BB119" s="298">
        <v>167483</v>
      </c>
      <c r="BE119" s="70"/>
      <c r="BF119" s="236"/>
    </row>
    <row r="120" spans="51:58" ht="12.75">
      <c r="AY120" s="103" t="s">
        <v>580</v>
      </c>
      <c r="AZ120" s="103" t="s">
        <v>852</v>
      </c>
      <c r="BA120" s="103" t="s">
        <v>181</v>
      </c>
      <c r="BB120" s="298">
        <v>204270</v>
      </c>
      <c r="BE120" s="70"/>
      <c r="BF120" s="236"/>
    </row>
    <row r="121" spans="51:58" ht="12.75">
      <c r="AY121" s="103" t="s">
        <v>579</v>
      </c>
      <c r="AZ121" s="103" t="s">
        <v>853</v>
      </c>
      <c r="BA121" s="103" t="s">
        <v>181</v>
      </c>
      <c r="BB121" s="298">
        <v>220178</v>
      </c>
      <c r="BE121" s="234"/>
      <c r="BF121" s="235"/>
    </row>
    <row r="122" spans="51:58" ht="12.75">
      <c r="AY122" s="103" t="s">
        <v>474</v>
      </c>
      <c r="AZ122" s="103" t="s">
        <v>854</v>
      </c>
      <c r="BA122" s="103" t="s">
        <v>181</v>
      </c>
      <c r="BB122" s="298">
        <v>151526</v>
      </c>
      <c r="BE122" s="70"/>
      <c r="BF122" s="246"/>
    </row>
    <row r="123" spans="51:58" ht="12.75">
      <c r="AY123" s="103" t="s">
        <v>497</v>
      </c>
      <c r="AZ123" s="103" t="s">
        <v>855</v>
      </c>
      <c r="BA123" s="103" t="s">
        <v>181</v>
      </c>
      <c r="BB123" s="298">
        <v>291230</v>
      </c>
      <c r="BF123" s="249"/>
    </row>
    <row r="124" spans="51:58" ht="12.75">
      <c r="AY124" s="103" t="s">
        <v>499</v>
      </c>
      <c r="AZ124" s="103" t="s">
        <v>856</v>
      </c>
      <c r="BA124" s="103" t="s">
        <v>181</v>
      </c>
      <c r="BB124" s="298">
        <v>164506</v>
      </c>
      <c r="BF124" s="249"/>
    </row>
    <row r="125" spans="51:58" ht="12.75">
      <c r="AY125" s="103" t="s">
        <v>509</v>
      </c>
      <c r="AZ125" s="103" t="s">
        <v>857</v>
      </c>
      <c r="BA125" s="103" t="s">
        <v>181</v>
      </c>
      <c r="BB125" s="298">
        <v>235721</v>
      </c>
      <c r="BE125" s="70"/>
      <c r="BF125" s="246"/>
    </row>
    <row r="126" spans="51:58" ht="12.75">
      <c r="AY126" s="103" t="s">
        <v>521</v>
      </c>
      <c r="AZ126" s="103" t="s">
        <v>858</v>
      </c>
      <c r="BA126" s="103" t="s">
        <v>181</v>
      </c>
      <c r="BB126" s="298">
        <v>201601</v>
      </c>
      <c r="BE126" s="70"/>
      <c r="BF126" s="236"/>
    </row>
    <row r="127" spans="51:58" ht="12.75">
      <c r="AY127" s="103" t="s">
        <v>482</v>
      </c>
      <c r="AZ127" s="103" t="s">
        <v>859</v>
      </c>
      <c r="BA127" s="103" t="s">
        <v>181</v>
      </c>
      <c r="BB127" s="298">
        <v>376153</v>
      </c>
      <c r="BF127" s="249"/>
    </row>
    <row r="128" spans="51:58" ht="12.75">
      <c r="AY128" s="103" t="s">
        <v>590</v>
      </c>
      <c r="AZ128" s="103" t="s">
        <v>860</v>
      </c>
      <c r="BA128" s="103" t="s">
        <v>181</v>
      </c>
      <c r="BB128" s="298">
        <v>228448</v>
      </c>
      <c r="BE128" s="247"/>
      <c r="BF128" s="246"/>
    </row>
    <row r="129" spans="51:58" ht="12.75">
      <c r="AY129" s="103" t="s">
        <v>491</v>
      </c>
      <c r="AZ129" s="103" t="s">
        <v>861</v>
      </c>
      <c r="BA129" s="103" t="s">
        <v>181</v>
      </c>
      <c r="BB129" s="298">
        <v>328780</v>
      </c>
      <c r="BE129" s="70"/>
      <c r="BF129" s="246"/>
    </row>
    <row r="130" spans="51:58" ht="12.75">
      <c r="AY130" s="103" t="s">
        <v>591</v>
      </c>
      <c r="AZ130" s="103" t="s">
        <v>862</v>
      </c>
      <c r="BA130" s="103" t="s">
        <v>181</v>
      </c>
      <c r="BB130" s="298">
        <v>314214</v>
      </c>
      <c r="BE130" s="70"/>
      <c r="BF130" s="246"/>
    </row>
    <row r="131" spans="51:58" ht="12.75">
      <c r="AY131" s="103" t="s">
        <v>582</v>
      </c>
      <c r="AZ131" s="103" t="s">
        <v>863</v>
      </c>
      <c r="BA131" s="103" t="s">
        <v>181</v>
      </c>
      <c r="BB131" s="298">
        <v>253416</v>
      </c>
      <c r="BE131" s="244"/>
      <c r="BF131" s="246"/>
    </row>
    <row r="132" spans="51:58" ht="12.75">
      <c r="AY132" s="103" t="s">
        <v>503</v>
      </c>
      <c r="AZ132" s="103" t="s">
        <v>864</v>
      </c>
      <c r="BA132" s="103" t="s">
        <v>181</v>
      </c>
      <c r="BB132" s="298">
        <v>285838</v>
      </c>
      <c r="BE132" s="244"/>
      <c r="BF132" s="246"/>
    </row>
    <row r="133" spans="51:58" ht="12.75">
      <c r="AY133" s="103" t="s">
        <v>600</v>
      </c>
      <c r="AZ133" s="103" t="s">
        <v>865</v>
      </c>
      <c r="BA133" s="103" t="s">
        <v>181</v>
      </c>
      <c r="BB133" s="298">
        <v>379319</v>
      </c>
      <c r="BE133" s="244"/>
      <c r="BF133" s="248"/>
    </row>
    <row r="134" spans="51:58" ht="12.75">
      <c r="AY134" s="103" t="s">
        <v>520</v>
      </c>
      <c r="AZ134" s="103" t="s">
        <v>866</v>
      </c>
      <c r="BA134" s="103" t="s">
        <v>181</v>
      </c>
      <c r="BB134" s="298">
        <v>386580</v>
      </c>
      <c r="BE134" s="240"/>
      <c r="BF134" s="235"/>
    </row>
    <row r="135" spans="51:58" ht="12.75">
      <c r="AY135" s="103" t="s">
        <v>475</v>
      </c>
      <c r="AZ135" s="103" t="s">
        <v>867</v>
      </c>
      <c r="BA135" t="s">
        <v>181</v>
      </c>
      <c r="BB135" s="298">
        <v>287939</v>
      </c>
      <c r="BE135" s="247"/>
      <c r="BF135" s="246"/>
    </row>
    <row r="136" spans="51:58" ht="12.75">
      <c r="AY136" s="103" t="s">
        <v>544</v>
      </c>
      <c r="AZ136" s="103" t="s">
        <v>868</v>
      </c>
      <c r="BA136" s="103" t="s">
        <v>181</v>
      </c>
      <c r="BB136" s="298">
        <v>278666</v>
      </c>
      <c r="BE136" s="234"/>
      <c r="BF136" s="235"/>
    </row>
    <row r="137" spans="51:58" ht="12.75">
      <c r="AY137" s="103" t="s">
        <v>532</v>
      </c>
      <c r="AZ137" s="103" t="s">
        <v>869</v>
      </c>
      <c r="BA137" s="103" t="s">
        <v>181</v>
      </c>
      <c r="BB137" s="298">
        <v>274754</v>
      </c>
      <c r="BF137" s="249"/>
    </row>
    <row r="138" spans="51:58" ht="12.75">
      <c r="AY138" s="103" t="s">
        <v>550</v>
      </c>
      <c r="AZ138" s="103" t="s">
        <v>870</v>
      </c>
      <c r="BA138" s="103" t="s">
        <v>181</v>
      </c>
      <c r="BB138" s="298">
        <v>194613</v>
      </c>
      <c r="BE138" s="70"/>
      <c r="BF138" s="236"/>
    </row>
    <row r="139" spans="51:58" ht="12.75">
      <c r="AY139" s="103" t="s">
        <v>524</v>
      </c>
      <c r="AZ139" s="103" t="s">
        <v>871</v>
      </c>
      <c r="BA139" s="103" t="s">
        <v>181</v>
      </c>
      <c r="BB139" s="298">
        <v>260695</v>
      </c>
      <c r="BE139" s="234"/>
      <c r="BF139" s="235"/>
    </row>
    <row r="140" spans="51:58" ht="12.75">
      <c r="AY140" s="103" t="s">
        <v>581</v>
      </c>
      <c r="AZ140" s="103" t="s">
        <v>872</v>
      </c>
      <c r="BA140" s="103" t="s">
        <v>181</v>
      </c>
      <c r="BB140" s="298">
        <v>224682</v>
      </c>
      <c r="BE140" s="70"/>
      <c r="BF140" s="236"/>
    </row>
    <row r="141" spans="51:58" ht="12.75">
      <c r="AY141" s="103" t="s">
        <v>486</v>
      </c>
      <c r="AZ141" s="103" t="s">
        <v>873</v>
      </c>
      <c r="BA141" s="103" t="s">
        <v>181</v>
      </c>
      <c r="BB141" s="298">
        <v>256079</v>
      </c>
      <c r="BE141" s="70"/>
      <c r="BF141" s="236"/>
    </row>
    <row r="142" spans="51:58" ht="12.75">
      <c r="AY142" s="103" t="s">
        <v>502</v>
      </c>
      <c r="AZ142" s="103" t="s">
        <v>874</v>
      </c>
      <c r="BA142" s="103" t="s">
        <v>181</v>
      </c>
      <c r="BB142" s="298">
        <v>280503</v>
      </c>
      <c r="BE142" s="70"/>
      <c r="BF142" s="238"/>
    </row>
    <row r="143" spans="51:58" ht="12.75">
      <c r="AY143" s="103" t="s">
        <v>515</v>
      </c>
      <c r="AZ143" s="103" t="s">
        <v>875</v>
      </c>
      <c r="BA143" s="103" t="s">
        <v>181</v>
      </c>
      <c r="BB143" s="298">
        <v>219251</v>
      </c>
      <c r="BE143" s="70"/>
      <c r="BF143" s="246"/>
    </row>
    <row r="144" spans="51:58" ht="12.75">
      <c r="AY144" s="103" t="s">
        <v>534</v>
      </c>
      <c r="AZ144" s="103" t="s">
        <v>876</v>
      </c>
      <c r="BA144" s="103" t="s">
        <v>181</v>
      </c>
      <c r="BB144" s="298">
        <v>187383</v>
      </c>
      <c r="BE144" s="70"/>
      <c r="BF144" s="238"/>
    </row>
    <row r="145" spans="51:58" ht="12.75">
      <c r="AY145" s="103" t="s">
        <v>470</v>
      </c>
      <c r="AZ145" s="103" t="s">
        <v>877</v>
      </c>
      <c r="BA145" s="103" t="s">
        <v>181</v>
      </c>
      <c r="BB145" s="298">
        <v>374678</v>
      </c>
      <c r="BE145" s="245"/>
      <c r="BF145" s="246"/>
    </row>
    <row r="146" spans="51:58" ht="12.75">
      <c r="AY146" s="103" t="s">
        <v>592</v>
      </c>
      <c r="AZ146" s="103" t="s">
        <v>878</v>
      </c>
      <c r="BA146" s="103" t="s">
        <v>181</v>
      </c>
      <c r="BB146" s="298">
        <v>299563</v>
      </c>
      <c r="BF146" s="249"/>
    </row>
    <row r="147" spans="51:58" ht="12.75">
      <c r="AY147" s="103" t="s">
        <v>493</v>
      </c>
      <c r="AZ147" s="103" t="s">
        <v>879</v>
      </c>
      <c r="BA147" s="103" t="s">
        <v>181</v>
      </c>
      <c r="BB147" s="298">
        <v>368016</v>
      </c>
      <c r="BF147" s="249"/>
    </row>
    <row r="148" spans="51:58" ht="12.75">
      <c r="AY148" s="103" t="s">
        <v>480</v>
      </c>
      <c r="AZ148" s="103" t="s">
        <v>880</v>
      </c>
      <c r="BA148" s="103" t="s">
        <v>181</v>
      </c>
      <c r="BB148" s="298">
        <v>287529</v>
      </c>
      <c r="BF148" s="249"/>
    </row>
    <row r="149" spans="51:58" ht="12.75">
      <c r="AY149" s="103" t="s">
        <v>519</v>
      </c>
      <c r="AZ149" s="103" t="s">
        <v>881</v>
      </c>
      <c r="BA149" s="103" t="s">
        <v>181</v>
      </c>
      <c r="BB149" s="298">
        <v>197994</v>
      </c>
      <c r="BE149" s="245"/>
      <c r="BF149" s="246"/>
    </row>
    <row r="150" spans="51:58" ht="12.75">
      <c r="AY150" s="103" t="s">
        <v>506</v>
      </c>
      <c r="AZ150" s="103" t="s">
        <v>882</v>
      </c>
      <c r="BA150" s="103" t="s">
        <v>181</v>
      </c>
      <c r="BB150" s="298">
        <v>327517</v>
      </c>
      <c r="BF150" s="249"/>
    </row>
    <row r="151" spans="51:58" ht="12.75">
      <c r="AY151" s="103" t="s">
        <v>601</v>
      </c>
      <c r="AZ151" s="103" t="s">
        <v>883</v>
      </c>
      <c r="BA151" s="103" t="s">
        <v>181</v>
      </c>
      <c r="BB151" s="298">
        <v>209261</v>
      </c>
      <c r="BF151" s="249"/>
    </row>
    <row r="152" spans="51:58" ht="12.75">
      <c r="AY152" s="103" t="s">
        <v>602</v>
      </c>
      <c r="AZ152" s="103" t="s">
        <v>884</v>
      </c>
      <c r="BA152" s="103" t="s">
        <v>181</v>
      </c>
      <c r="BB152" s="298">
        <v>184345</v>
      </c>
      <c r="BE152" s="247"/>
      <c r="BF152" s="236"/>
    </row>
    <row r="153" spans="51:58" ht="12.75">
      <c r="AY153" s="103" t="s">
        <v>492</v>
      </c>
      <c r="AZ153" s="103" t="s">
        <v>885</v>
      </c>
      <c r="BA153" s="103" t="s">
        <v>181</v>
      </c>
      <c r="BB153" s="298">
        <v>278239</v>
      </c>
      <c r="BF153" s="249"/>
    </row>
    <row r="154" spans="51:58" ht="12.75">
      <c r="AY154" s="103" t="s">
        <v>481</v>
      </c>
      <c r="AZ154" s="103" t="s">
        <v>886</v>
      </c>
      <c r="BA154" s="103" t="s">
        <v>181</v>
      </c>
      <c r="BB154" s="298">
        <v>293890</v>
      </c>
      <c r="BE154" s="234"/>
      <c r="BF154" s="235"/>
    </row>
    <row r="155" spans="51:58" ht="12.75">
      <c r="AY155" s="103" t="s">
        <v>517</v>
      </c>
      <c r="AZ155" s="103" t="s">
        <v>887</v>
      </c>
      <c r="BA155" s="103" t="s">
        <v>181</v>
      </c>
      <c r="BB155" s="298">
        <v>350283</v>
      </c>
      <c r="BE155" s="70"/>
      <c r="BF155" s="236"/>
    </row>
    <row r="156" spans="51:58" ht="12.75">
      <c r="AY156" s="103" t="s">
        <v>490</v>
      </c>
      <c r="AZ156" s="103" t="s">
        <v>888</v>
      </c>
      <c r="BA156" s="103" t="s">
        <v>181</v>
      </c>
      <c r="BB156" s="298">
        <v>219681</v>
      </c>
      <c r="BF156" s="249"/>
    </row>
    <row r="157" spans="51:58" ht="12.75">
      <c r="AY157" s="103" t="s">
        <v>510</v>
      </c>
      <c r="AZ157" s="103" t="s">
        <v>889</v>
      </c>
      <c r="BA157" s="103" t="s">
        <v>181</v>
      </c>
      <c r="BB157" s="298">
        <v>191568</v>
      </c>
      <c r="BF157" s="249"/>
    </row>
    <row r="158" spans="51:58" ht="12.75">
      <c r="AY158" s="103" t="s">
        <v>589</v>
      </c>
      <c r="AZ158" s="103" t="s">
        <v>890</v>
      </c>
      <c r="BA158" s="103" t="s">
        <v>181</v>
      </c>
      <c r="BB158" s="298">
        <v>123049</v>
      </c>
      <c r="BF158" s="249"/>
    </row>
    <row r="159" spans="51:58" ht="12.75">
      <c r="AY159" s="103" t="s">
        <v>478</v>
      </c>
      <c r="AZ159" s="103" t="s">
        <v>891</v>
      </c>
      <c r="BA159" s="103" t="s">
        <v>181</v>
      </c>
      <c r="BB159" s="298">
        <v>300515</v>
      </c>
      <c r="BF159" s="249"/>
    </row>
    <row r="160" spans="51:58" ht="12.75">
      <c r="AY160" s="103" t="s">
        <v>586</v>
      </c>
      <c r="AZ160" s="103" t="s">
        <v>892</v>
      </c>
      <c r="BA160" s="103" t="s">
        <v>181</v>
      </c>
      <c r="BB160" s="298">
        <v>212778</v>
      </c>
      <c r="BE160" s="70"/>
      <c r="BF160" s="236"/>
    </row>
    <row r="161" spans="51:58" ht="12.75">
      <c r="AY161" s="103" t="s">
        <v>479</v>
      </c>
      <c r="AZ161" s="103" t="s">
        <v>893</v>
      </c>
      <c r="BA161" s="103" t="s">
        <v>181</v>
      </c>
      <c r="BB161" s="298">
        <v>185366</v>
      </c>
      <c r="BE161" s="70"/>
      <c r="BF161" s="238"/>
    </row>
    <row r="162" spans="51:58" ht="12.75">
      <c r="AY162" s="103" t="s">
        <v>598</v>
      </c>
      <c r="AZ162" s="103" t="s">
        <v>894</v>
      </c>
      <c r="BA162" s="103" t="s">
        <v>181</v>
      </c>
      <c r="BB162" s="298">
        <v>486131</v>
      </c>
      <c r="BE162" s="234"/>
      <c r="BF162" s="235"/>
    </row>
    <row r="163" spans="51:58" ht="12.75">
      <c r="AY163" s="103" t="s">
        <v>501</v>
      </c>
      <c r="AZ163" s="103" t="s">
        <v>895</v>
      </c>
      <c r="BA163" s="103" t="s">
        <v>181</v>
      </c>
      <c r="BB163" s="298">
        <v>123717</v>
      </c>
      <c r="BE163" s="70"/>
      <c r="BF163" s="236"/>
    </row>
    <row r="164" spans="51:58" ht="12.75">
      <c r="AY164" s="103" t="s">
        <v>548</v>
      </c>
      <c r="AZ164" s="103" t="s">
        <v>896</v>
      </c>
      <c r="BA164" s="103" t="s">
        <v>181</v>
      </c>
      <c r="BB164" s="298">
        <v>246419</v>
      </c>
      <c r="BE164" s="245"/>
      <c r="BF164" s="238"/>
    </row>
    <row r="165" spans="51:58" ht="12.75">
      <c r="AY165" s="103" t="s">
        <v>593</v>
      </c>
      <c r="AZ165" s="103" t="s">
        <v>897</v>
      </c>
      <c r="BA165" s="103" t="s">
        <v>181</v>
      </c>
      <c r="BB165" s="298">
        <v>168051</v>
      </c>
      <c r="BF165" s="249"/>
    </row>
    <row r="166" spans="51:58" ht="12.75">
      <c r="AY166" s="103" t="s">
        <v>594</v>
      </c>
      <c r="AZ166" s="103" t="s">
        <v>898</v>
      </c>
      <c r="BA166" s="103" t="s">
        <v>181</v>
      </c>
      <c r="BB166" s="298">
        <v>212679</v>
      </c>
      <c r="BE166" s="70"/>
      <c r="BF166" s="246"/>
    </row>
    <row r="167" spans="51:58" ht="12.75">
      <c r="AY167" s="103" t="s">
        <v>584</v>
      </c>
      <c r="AZ167" s="103" t="s">
        <v>899</v>
      </c>
      <c r="BA167" s="103" t="s">
        <v>181</v>
      </c>
      <c r="BB167" s="298">
        <v>182204</v>
      </c>
      <c r="BF167" s="249"/>
    </row>
    <row r="168" spans="51:58" ht="12.75">
      <c r="AY168" s="103" t="s">
        <v>489</v>
      </c>
      <c r="AZ168" s="103" t="s">
        <v>900</v>
      </c>
      <c r="BA168" s="103" t="s">
        <v>181</v>
      </c>
      <c r="BB168" s="298">
        <v>275970</v>
      </c>
      <c r="BE168" s="234"/>
      <c r="BF168" s="235"/>
    </row>
    <row r="169" spans="51:58" ht="12.75">
      <c r="AY169" s="103" t="s">
        <v>599</v>
      </c>
      <c r="AZ169" s="103" t="s">
        <v>901</v>
      </c>
      <c r="BA169" s="103" t="s">
        <v>181</v>
      </c>
      <c r="BB169" s="298">
        <v>224363</v>
      </c>
      <c r="BE169" s="234"/>
      <c r="BF169" s="235"/>
    </row>
    <row r="170" spans="51:58" ht="12.75">
      <c r="AY170" s="103" t="s">
        <v>546</v>
      </c>
      <c r="AZ170" s="103" t="s">
        <v>902</v>
      </c>
      <c r="BA170" s="103" t="s">
        <v>181</v>
      </c>
      <c r="BB170" s="298">
        <v>349206</v>
      </c>
      <c r="BE170" s="70"/>
      <c r="BF170" s="238"/>
    </row>
    <row r="171" spans="51:58" ht="12.75">
      <c r="AY171" s="103" t="s">
        <v>585</v>
      </c>
      <c r="AZ171" s="103" t="s">
        <v>903</v>
      </c>
      <c r="BA171" s="103" t="s">
        <v>181</v>
      </c>
      <c r="BB171" s="298">
        <v>199887</v>
      </c>
      <c r="BE171" s="70"/>
      <c r="BF171" s="236"/>
    </row>
    <row r="172" spans="51:58" ht="12.75">
      <c r="AY172" s="103" t="s">
        <v>596</v>
      </c>
      <c r="AZ172" s="103" t="s">
        <v>904</v>
      </c>
      <c r="BA172" s="103" t="s">
        <v>181</v>
      </c>
      <c r="BB172" s="298">
        <v>90403</v>
      </c>
      <c r="BE172" s="70"/>
      <c r="BF172" s="238"/>
    </row>
    <row r="173" spans="51:58" ht="12.75">
      <c r="AY173" s="103" t="s">
        <v>514</v>
      </c>
      <c r="AZ173" s="103" t="s">
        <v>905</v>
      </c>
      <c r="BA173" s="103" t="s">
        <v>181</v>
      </c>
      <c r="BB173" s="298">
        <v>108078</v>
      </c>
      <c r="BE173" s="70"/>
      <c r="BF173" s="236"/>
    </row>
    <row r="174" spans="51:58" ht="12.75">
      <c r="AY174" s="103" t="s">
        <v>588</v>
      </c>
      <c r="AZ174" s="103" t="s">
        <v>906</v>
      </c>
      <c r="BA174" s="103" t="s">
        <v>181</v>
      </c>
      <c r="BB174" s="298">
        <v>136220</v>
      </c>
      <c r="BF174" s="249"/>
    </row>
    <row r="175" spans="51:58" ht="12.75">
      <c r="AY175" s="103" t="s">
        <v>611</v>
      </c>
      <c r="AZ175" s="103" t="s">
        <v>907</v>
      </c>
      <c r="BA175" s="103" t="s">
        <v>181</v>
      </c>
      <c r="BB175" s="298">
        <v>136117</v>
      </c>
      <c r="BF175" s="249"/>
    </row>
    <row r="176" spans="51:58" ht="12.75">
      <c r="AY176" s="103" t="s">
        <v>477</v>
      </c>
      <c r="AZ176" s="103" t="s">
        <v>908</v>
      </c>
      <c r="BA176" s="103" t="s">
        <v>181</v>
      </c>
      <c r="BB176" s="298">
        <v>298584</v>
      </c>
      <c r="BE176" s="234"/>
      <c r="BF176" s="235"/>
    </row>
    <row r="177" spans="51:58" ht="12.75">
      <c r="AY177" s="103" t="s">
        <v>608</v>
      </c>
      <c r="AZ177" s="103" t="s">
        <v>909</v>
      </c>
      <c r="BA177" s="103" t="s">
        <v>181</v>
      </c>
      <c r="BB177" s="298">
        <v>213947</v>
      </c>
      <c r="BE177" s="234"/>
      <c r="BF177" s="235"/>
    </row>
    <row r="178" spans="51:58" ht="12.75">
      <c r="AY178" s="103" t="s">
        <v>606</v>
      </c>
      <c r="AZ178" s="103" t="s">
        <v>910</v>
      </c>
      <c r="BA178" s="103" t="s">
        <v>181</v>
      </c>
      <c r="BB178" s="298">
        <v>199679</v>
      </c>
      <c r="BE178" s="70"/>
      <c r="BF178" s="238"/>
    </row>
    <row r="179" spans="51:58" ht="12.75">
      <c r="AY179" s="103" t="s">
        <v>610</v>
      </c>
      <c r="AZ179" s="103" t="s">
        <v>911</v>
      </c>
      <c r="BA179" s="103" t="s">
        <v>274</v>
      </c>
      <c r="BB179" s="298">
        <v>140954</v>
      </c>
      <c r="BF179" s="249"/>
    </row>
    <row r="180" spans="51:58" ht="12.75">
      <c r="AY180" s="103" t="s">
        <v>609</v>
      </c>
      <c r="AZ180" s="103" t="s">
        <v>912</v>
      </c>
      <c r="BA180" s="103" t="s">
        <v>181</v>
      </c>
      <c r="BB180" s="298">
        <v>113978</v>
      </c>
      <c r="BE180" s="244"/>
      <c r="BF180" s="246"/>
    </row>
    <row r="181" spans="51:58" ht="12.75">
      <c r="AY181" s="103" t="s">
        <v>613</v>
      </c>
      <c r="AZ181" s="103" t="s">
        <v>913</v>
      </c>
      <c r="BA181" s="103" t="s">
        <v>181</v>
      </c>
      <c r="BB181" s="298">
        <v>107019</v>
      </c>
      <c r="BF181" s="249"/>
    </row>
    <row r="182" spans="51:58" ht="12.75">
      <c r="AY182" s="103" t="s">
        <v>615</v>
      </c>
      <c r="AZ182" s="103" t="s">
        <v>914</v>
      </c>
      <c r="BA182" s="103" t="s">
        <v>274</v>
      </c>
      <c r="BB182" s="298">
        <v>681439</v>
      </c>
      <c r="BF182" s="249"/>
    </row>
    <row r="183" spans="51:58" ht="12.75">
      <c r="AY183" s="103" t="s">
        <v>536</v>
      </c>
      <c r="AZ183" s="103" t="s">
        <v>915</v>
      </c>
      <c r="BA183" s="103" t="s">
        <v>181</v>
      </c>
      <c r="BB183" s="298">
        <v>216450</v>
      </c>
      <c r="BE183" s="70"/>
      <c r="BF183" s="238"/>
    </row>
    <row r="184" spans="51:58" ht="12.75">
      <c r="AY184" s="103" t="s">
        <v>496</v>
      </c>
      <c r="AZ184" s="103" t="s">
        <v>916</v>
      </c>
      <c r="BA184" s="103" t="s">
        <v>181</v>
      </c>
      <c r="BB184" s="298">
        <v>143386</v>
      </c>
      <c r="BE184" s="70"/>
      <c r="BF184" s="238"/>
    </row>
    <row r="185" spans="51:58" ht="12.75">
      <c r="AY185" s="103" t="s">
        <v>522</v>
      </c>
      <c r="AZ185" s="103" t="s">
        <v>917</v>
      </c>
      <c r="BA185" s="103" t="s">
        <v>181</v>
      </c>
      <c r="BB185" s="298">
        <v>203460</v>
      </c>
      <c r="BF185" s="249"/>
    </row>
    <row r="186" spans="51:58" ht="12.75">
      <c r="AY186" s="103" t="s">
        <v>535</v>
      </c>
      <c r="AZ186" s="103" t="s">
        <v>918</v>
      </c>
      <c r="BA186" s="103" t="s">
        <v>181</v>
      </c>
      <c r="BB186" s="298">
        <v>121932</v>
      </c>
      <c r="BF186" s="249"/>
    </row>
    <row r="187" spans="51:58" ht="12.75">
      <c r="AY187" s="103" t="s">
        <v>605</v>
      </c>
      <c r="AZ187" s="103" t="s">
        <v>919</v>
      </c>
      <c r="BA187" s="103" t="s">
        <v>181</v>
      </c>
      <c r="BB187" s="298">
        <v>265148</v>
      </c>
      <c r="BE187" s="234"/>
      <c r="BF187" s="235"/>
    </row>
    <row r="188" spans="51:58" ht="12.75">
      <c r="AY188" s="103" t="s">
        <v>528</v>
      </c>
      <c r="AZ188" s="103" t="s">
        <v>920</v>
      </c>
      <c r="BA188" s="103" t="s">
        <v>181</v>
      </c>
      <c r="BB188" s="298">
        <v>198019</v>
      </c>
      <c r="BF188" s="238"/>
    </row>
    <row r="189" spans="51:58" ht="12.75">
      <c r="AY189" s="103" t="s">
        <v>607</v>
      </c>
      <c r="AZ189" s="103" t="s">
        <v>921</v>
      </c>
      <c r="BA189" s="103" t="s">
        <v>181</v>
      </c>
      <c r="BB189" s="298">
        <v>539951</v>
      </c>
      <c r="BF189" s="238"/>
    </row>
    <row r="190" spans="51:58" ht="12.75">
      <c r="AY190" s="103" t="s">
        <v>505</v>
      </c>
      <c r="AZ190" s="103" t="s">
        <v>922</v>
      </c>
      <c r="BA190" s="103" t="s">
        <v>181</v>
      </c>
      <c r="BB190" s="298">
        <v>150550</v>
      </c>
      <c r="BE190" s="234"/>
      <c r="BF190" s="235"/>
    </row>
    <row r="191" spans="51:58" ht="12.75">
      <c r="AY191" s="103" t="s">
        <v>612</v>
      </c>
      <c r="AZ191" s="103" t="s">
        <v>923</v>
      </c>
      <c r="BA191" s="103" t="s">
        <v>181</v>
      </c>
      <c r="BB191" s="298">
        <v>154220</v>
      </c>
      <c r="BE191" s="70"/>
      <c r="BF191" s="236"/>
    </row>
    <row r="192" spans="51:58" ht="12.75">
      <c r="AY192" s="103" t="s">
        <v>386</v>
      </c>
      <c r="AZ192" s="103" t="s">
        <v>924</v>
      </c>
      <c r="BA192" s="103" t="s">
        <v>181</v>
      </c>
      <c r="BB192" s="298">
        <v>197124</v>
      </c>
      <c r="BE192" s="70"/>
      <c r="BF192" s="236"/>
    </row>
    <row r="193" spans="51:58" ht="12.75">
      <c r="AY193" s="103" t="s">
        <v>387</v>
      </c>
      <c r="AZ193" s="103" t="s">
        <v>925</v>
      </c>
      <c r="BA193" s="103" t="s">
        <v>181</v>
      </c>
      <c r="BB193" s="298">
        <v>475661</v>
      </c>
      <c r="BE193" s="70"/>
      <c r="BF193" s="236"/>
    </row>
    <row r="194" spans="51:58" ht="12.75">
      <c r="AY194" s="103" t="s">
        <v>603</v>
      </c>
      <c r="AZ194" s="103" t="s">
        <v>926</v>
      </c>
      <c r="BA194" s="103" t="s">
        <v>181</v>
      </c>
      <c r="BB194" s="298">
        <v>760798</v>
      </c>
      <c r="BE194" s="70"/>
      <c r="BF194" s="236"/>
    </row>
    <row r="195" spans="51:58" ht="12.75">
      <c r="AY195" s="103" t="s">
        <v>414</v>
      </c>
      <c r="AZ195" s="103" t="s">
        <v>927</v>
      </c>
      <c r="BA195" s="103" t="s">
        <v>181</v>
      </c>
      <c r="BB195" s="298">
        <v>614551</v>
      </c>
      <c r="BE195" s="70"/>
      <c r="BF195" s="236"/>
    </row>
    <row r="196" spans="51:58" ht="12.75">
      <c r="AY196" s="103" t="s">
        <v>390</v>
      </c>
      <c r="AZ196" s="103" t="s">
        <v>928</v>
      </c>
      <c r="BA196" s="103" t="s">
        <v>181</v>
      </c>
      <c r="BB196" s="298">
        <v>555618</v>
      </c>
      <c r="BE196" s="70"/>
      <c r="BF196" s="236"/>
    </row>
    <row r="197" spans="51:58" ht="12.75">
      <c r="AY197" s="103" t="s">
        <v>388</v>
      </c>
      <c r="AZ197" s="103" t="s">
        <v>929</v>
      </c>
      <c r="BA197" s="103" t="s">
        <v>181</v>
      </c>
      <c r="BB197" s="298">
        <v>209917</v>
      </c>
      <c r="BE197" s="70"/>
      <c r="BF197" s="236"/>
    </row>
    <row r="198" spans="51:58" ht="12.75">
      <c r="AY198" s="103" t="s">
        <v>415</v>
      </c>
      <c r="AZ198" s="103" t="s">
        <v>930</v>
      </c>
      <c r="BA198" s="103" t="s">
        <v>181</v>
      </c>
      <c r="BB198" s="298">
        <v>543498</v>
      </c>
      <c r="BF198" s="249"/>
    </row>
    <row r="199" spans="51:58" ht="12.75">
      <c r="AY199" s="103" t="s">
        <v>389</v>
      </c>
      <c r="AZ199" s="103" t="s">
        <v>931</v>
      </c>
      <c r="BA199" s="103" t="s">
        <v>181</v>
      </c>
      <c r="BB199" s="298">
        <v>256061</v>
      </c>
      <c r="BE199" s="70"/>
      <c r="BF199" s="238"/>
    </row>
    <row r="200" spans="51:58" ht="12.75">
      <c r="AY200" s="103" t="s">
        <v>476</v>
      </c>
      <c r="AZ200" s="103" t="s">
        <v>932</v>
      </c>
      <c r="BA200" s="103" t="s">
        <v>274</v>
      </c>
      <c r="BB200" s="298">
        <v>221360</v>
      </c>
      <c r="BE200" s="70"/>
      <c r="BF200" s="236"/>
    </row>
    <row r="201" spans="51:58" ht="12.75">
      <c r="AY201" s="103" t="s">
        <v>449</v>
      </c>
      <c r="AZ201" s="103" t="s">
        <v>933</v>
      </c>
      <c r="BA201" s="103" t="s">
        <v>181</v>
      </c>
      <c r="BB201" s="298">
        <v>331160</v>
      </c>
      <c r="BF201" s="249"/>
    </row>
    <row r="202" spans="51:58" ht="12.75">
      <c r="AY202" s="103" t="s">
        <v>432</v>
      </c>
      <c r="AZ202" s="103" t="s">
        <v>934</v>
      </c>
      <c r="BA202" s="103" t="s">
        <v>181</v>
      </c>
      <c r="BB202" s="298">
        <v>723927</v>
      </c>
      <c r="BF202" s="249"/>
    </row>
    <row r="203" spans="51:58" ht="12.75">
      <c r="AY203" s="103" t="s">
        <v>444</v>
      </c>
      <c r="AZ203" s="103" t="s">
        <v>935</v>
      </c>
      <c r="BA203" s="103" t="s">
        <v>181</v>
      </c>
      <c r="BB203" s="298">
        <v>492711</v>
      </c>
      <c r="BF203" s="249"/>
    </row>
    <row r="204" spans="51:58" ht="12.75">
      <c r="AY204" s="103" t="s">
        <v>547</v>
      </c>
      <c r="AZ204" s="103" t="s">
        <v>936</v>
      </c>
      <c r="BA204" s="103" t="s">
        <v>181</v>
      </c>
      <c r="BB204" s="298">
        <v>214926</v>
      </c>
      <c r="BF204" s="249"/>
    </row>
    <row r="205" spans="51:58" ht="12.75">
      <c r="AY205" s="103" t="s">
        <v>570</v>
      </c>
      <c r="AZ205" s="103" t="s">
        <v>937</v>
      </c>
      <c r="BA205" s="103" t="s">
        <v>181</v>
      </c>
      <c r="BB205" s="298">
        <v>156440</v>
      </c>
      <c r="BE205" s="70"/>
      <c r="BF205" s="236"/>
    </row>
    <row r="206" spans="51:58" ht="12.75">
      <c r="AY206" s="103" t="s">
        <v>500</v>
      </c>
      <c r="AZ206" s="103" t="s">
        <v>938</v>
      </c>
      <c r="BA206" s="103" t="s">
        <v>181</v>
      </c>
      <c r="BB206" s="298">
        <v>262252</v>
      </c>
      <c r="BE206" s="70"/>
      <c r="BF206" s="237"/>
    </row>
    <row r="207" spans="51:58" ht="12.75">
      <c r="AY207" s="103" t="s">
        <v>513</v>
      </c>
      <c r="AZ207" s="103" t="s">
        <v>939</v>
      </c>
      <c r="BA207" s="103" t="s">
        <v>181</v>
      </c>
      <c r="BB207" s="298">
        <v>177806</v>
      </c>
      <c r="BE207" s="234"/>
      <c r="BF207" s="239"/>
    </row>
    <row r="208" spans="51:58" ht="12.75">
      <c r="AY208" s="103" t="s">
        <v>530</v>
      </c>
      <c r="AZ208" s="103" t="s">
        <v>940</v>
      </c>
      <c r="BA208" s="103" t="s">
        <v>181</v>
      </c>
      <c r="BB208" s="298">
        <v>184659</v>
      </c>
      <c r="BE208" s="234"/>
      <c r="BF208" s="239"/>
    </row>
    <row r="209" spans="51:58" ht="12.75">
      <c r="AY209" s="103" t="s">
        <v>595</v>
      </c>
      <c r="AZ209" s="103" t="s">
        <v>941</v>
      </c>
      <c r="BA209" s="103" t="s">
        <v>181</v>
      </c>
      <c r="BB209" s="298">
        <v>289448</v>
      </c>
      <c r="BE209" s="234"/>
      <c r="BF209" s="239"/>
    </row>
    <row r="210" spans="51:58" ht="12.75">
      <c r="AY210" s="103" t="s">
        <v>587</v>
      </c>
      <c r="AZ210" s="103" t="s">
        <v>942</v>
      </c>
      <c r="BA210" s="103" t="s">
        <v>181</v>
      </c>
      <c r="BB210" s="298">
        <v>466241</v>
      </c>
      <c r="BE210" s="234"/>
      <c r="BF210" s="239"/>
    </row>
    <row r="211" spans="51:58" ht="12.75">
      <c r="AY211" s="103" t="s">
        <v>583</v>
      </c>
      <c r="AZ211" s="103" t="s">
        <v>943</v>
      </c>
      <c r="BA211" s="103" t="s">
        <v>181</v>
      </c>
      <c r="BB211" s="298">
        <v>164555</v>
      </c>
      <c r="BE211" s="234"/>
      <c r="BF211" s="239"/>
    </row>
    <row r="212" spans="51:58" ht="12.75">
      <c r="AY212" s="103" t="s">
        <v>597</v>
      </c>
      <c r="AZ212" s="103" t="s">
        <v>944</v>
      </c>
      <c r="BA212" s="103" t="s">
        <v>181</v>
      </c>
      <c r="BB212" s="298">
        <v>216963</v>
      </c>
      <c r="BE212" s="234"/>
      <c r="BF212" s="239"/>
    </row>
    <row r="213" spans="51:58" ht="12.75">
      <c r="AY213" s="103" t="s">
        <v>604</v>
      </c>
      <c r="AZ213" s="103" t="s">
        <v>945</v>
      </c>
      <c r="BA213" s="103" t="s">
        <v>181</v>
      </c>
      <c r="BB213" s="298">
        <v>447767</v>
      </c>
      <c r="BE213" s="234"/>
      <c r="BF213" s="235"/>
    </row>
    <row r="214" spans="51:58" ht="12.75">
      <c r="AY214" s="103" t="s">
        <v>392</v>
      </c>
      <c r="AZ214" s="103" t="s">
        <v>946</v>
      </c>
      <c r="BA214" s="103" t="s">
        <v>181</v>
      </c>
      <c r="BB214" s="298">
        <v>901403</v>
      </c>
      <c r="BE214" s="234"/>
      <c r="BF214" s="235"/>
    </row>
    <row r="215" spans="51:58" ht="12.75">
      <c r="AY215" s="103" t="s">
        <v>393</v>
      </c>
      <c r="AZ215" s="103" t="s">
        <v>947</v>
      </c>
      <c r="BA215" s="103" t="s">
        <v>181</v>
      </c>
      <c r="BB215" s="298">
        <v>274473</v>
      </c>
      <c r="BE215" s="234"/>
      <c r="BF215" s="235"/>
    </row>
    <row r="216" spans="51:58" ht="12.75">
      <c r="AY216" s="103" t="s">
        <v>24</v>
      </c>
      <c r="AZ216" s="103" t="s">
        <v>24</v>
      </c>
      <c r="BA216" s="103" t="s">
        <v>181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INDEX(A5:A130,A4)</f>
        <v>(L83101) ABBEY SURGERY</v>
      </c>
      <c r="B3" s="56" t="s">
        <v>946</v>
      </c>
      <c r="C3" s="56" t="s">
        <v>24</v>
      </c>
    </row>
    <row r="4" spans="1:2" ht="12.75">
      <c r="A4" s="76">
        <v>1</v>
      </c>
      <c r="B4" s="78" t="s">
        <v>392</v>
      </c>
    </row>
    <row r="5" ht="12.75">
      <c r="A5" s="277" t="s">
        <v>405</v>
      </c>
    </row>
    <row r="6" ht="12.75">
      <c r="A6" s="277" t="s">
        <v>370</v>
      </c>
    </row>
    <row r="7" ht="12.75">
      <c r="A7" s="277" t="s">
        <v>320</v>
      </c>
    </row>
    <row r="8" ht="12.75">
      <c r="A8" s="277" t="s">
        <v>285</v>
      </c>
    </row>
    <row r="9" ht="12.75">
      <c r="A9" s="277" t="s">
        <v>278</v>
      </c>
    </row>
    <row r="10" ht="12.75">
      <c r="A10" s="277" t="s">
        <v>287</v>
      </c>
    </row>
    <row r="11" ht="12.75">
      <c r="A11" s="277" t="s">
        <v>343</v>
      </c>
    </row>
    <row r="12" ht="12.75">
      <c r="A12" s="277" t="s">
        <v>283</v>
      </c>
    </row>
    <row r="13" ht="12.75">
      <c r="A13" s="277" t="s">
        <v>323</v>
      </c>
    </row>
    <row r="14" ht="12.75">
      <c r="A14" s="277" t="s">
        <v>374</v>
      </c>
    </row>
    <row r="15" ht="12.75">
      <c r="A15" s="277" t="s">
        <v>353</v>
      </c>
    </row>
    <row r="16" ht="12.75">
      <c r="A16" s="277" t="s">
        <v>376</v>
      </c>
    </row>
    <row r="17" ht="12.75">
      <c r="A17" s="277" t="s">
        <v>280</v>
      </c>
    </row>
    <row r="18" ht="12.75">
      <c r="A18" s="277" t="s">
        <v>345</v>
      </c>
    </row>
    <row r="19" ht="12.75">
      <c r="A19" s="277" t="s">
        <v>316</v>
      </c>
    </row>
    <row r="20" ht="12.75">
      <c r="A20" s="277" t="s">
        <v>279</v>
      </c>
    </row>
    <row r="21" ht="12.75">
      <c r="A21" s="277" t="s">
        <v>408</v>
      </c>
    </row>
    <row r="22" ht="12.75">
      <c r="A22" s="277" t="s">
        <v>332</v>
      </c>
    </row>
    <row r="23" ht="12.75">
      <c r="A23" s="277" t="s">
        <v>336</v>
      </c>
    </row>
    <row r="24" ht="12.75">
      <c r="A24" s="277" t="s">
        <v>301</v>
      </c>
    </row>
    <row r="25" ht="12.75">
      <c r="A25" s="277" t="s">
        <v>322</v>
      </c>
    </row>
    <row r="26" ht="12.75">
      <c r="A26" s="277" t="s">
        <v>373</v>
      </c>
    </row>
    <row r="27" ht="12.75">
      <c r="A27" s="277" t="s">
        <v>293</v>
      </c>
    </row>
    <row r="28" ht="12.75">
      <c r="A28" s="277" t="s">
        <v>404</v>
      </c>
    </row>
    <row r="29" ht="12.75">
      <c r="A29" s="277" t="s">
        <v>333</v>
      </c>
    </row>
    <row r="30" ht="12.75">
      <c r="A30" s="277" t="s">
        <v>310</v>
      </c>
    </row>
    <row r="31" ht="12.75">
      <c r="A31" s="277" t="s">
        <v>356</v>
      </c>
    </row>
    <row r="32" ht="12.75">
      <c r="A32" s="277" t="s">
        <v>309</v>
      </c>
    </row>
    <row r="33" ht="12.75">
      <c r="A33" s="277" t="s">
        <v>324</v>
      </c>
    </row>
    <row r="34" ht="12.75">
      <c r="A34" s="277" t="s">
        <v>304</v>
      </c>
    </row>
    <row r="35" ht="12.75">
      <c r="A35" s="277" t="s">
        <v>329</v>
      </c>
    </row>
    <row r="36" ht="12.75">
      <c r="A36" s="277" t="s">
        <v>347</v>
      </c>
    </row>
    <row r="37" ht="12.75">
      <c r="A37" s="277" t="s">
        <v>337</v>
      </c>
    </row>
    <row r="38" ht="12.75">
      <c r="A38" s="277" t="s">
        <v>286</v>
      </c>
    </row>
    <row r="39" ht="12.75">
      <c r="A39" s="277" t="s">
        <v>411</v>
      </c>
    </row>
    <row r="40" ht="12.75">
      <c r="A40" s="277" t="s">
        <v>973</v>
      </c>
    </row>
    <row r="41" ht="12.75">
      <c r="A41" s="277" t="s">
        <v>297</v>
      </c>
    </row>
    <row r="42" ht="12.75">
      <c r="A42" s="277" t="s">
        <v>284</v>
      </c>
    </row>
    <row r="43" ht="12.75">
      <c r="A43" s="277" t="s">
        <v>276</v>
      </c>
    </row>
    <row r="44" ht="12.75">
      <c r="A44" s="277" t="s">
        <v>365</v>
      </c>
    </row>
    <row r="45" ht="12.75">
      <c r="A45" s="277" t="s">
        <v>358</v>
      </c>
    </row>
    <row r="46" ht="12.75">
      <c r="A46" s="277" t="s">
        <v>366</v>
      </c>
    </row>
    <row r="47" ht="12.75">
      <c r="A47" s="277" t="s">
        <v>305</v>
      </c>
    </row>
    <row r="48" ht="12.75">
      <c r="A48" s="277" t="s">
        <v>315</v>
      </c>
    </row>
    <row r="49" ht="12.75">
      <c r="A49" s="277" t="s">
        <v>352</v>
      </c>
    </row>
    <row r="50" ht="12.75">
      <c r="A50" s="277" t="s">
        <v>350</v>
      </c>
    </row>
    <row r="51" ht="12.75">
      <c r="A51" s="277" t="s">
        <v>346</v>
      </c>
    </row>
    <row r="52" ht="12.75">
      <c r="A52" s="277" t="s">
        <v>368</v>
      </c>
    </row>
    <row r="53" ht="12.75">
      <c r="A53" s="277" t="s">
        <v>367</v>
      </c>
    </row>
    <row r="54" ht="12.75">
      <c r="A54" s="277" t="s">
        <v>354</v>
      </c>
    </row>
    <row r="55" ht="12.75">
      <c r="A55" s="277" t="s">
        <v>313</v>
      </c>
    </row>
    <row r="56" ht="12.75">
      <c r="A56" s="277" t="s">
        <v>391</v>
      </c>
    </row>
    <row r="57" ht="12.75">
      <c r="A57" s="277" t="s">
        <v>372</v>
      </c>
    </row>
    <row r="58" ht="12.75">
      <c r="A58" s="277" t="s">
        <v>319</v>
      </c>
    </row>
    <row r="59" ht="12.75">
      <c r="A59" s="277" t="s">
        <v>363</v>
      </c>
    </row>
    <row r="60" ht="12.75">
      <c r="A60" s="277" t="s">
        <v>334</v>
      </c>
    </row>
    <row r="61" ht="12.75">
      <c r="A61" s="277" t="s">
        <v>328</v>
      </c>
    </row>
    <row r="62" ht="12.75">
      <c r="A62" s="277" t="s">
        <v>355</v>
      </c>
    </row>
    <row r="63" ht="12.75">
      <c r="A63" s="277" t="s">
        <v>357</v>
      </c>
    </row>
    <row r="64" ht="12.75">
      <c r="A64" s="277" t="s">
        <v>410</v>
      </c>
    </row>
    <row r="65" ht="12.75">
      <c r="A65" s="277" t="s">
        <v>291</v>
      </c>
    </row>
    <row r="66" ht="12.75">
      <c r="A66" s="277" t="s">
        <v>312</v>
      </c>
    </row>
    <row r="67" ht="12.75">
      <c r="A67" s="277" t="s">
        <v>360</v>
      </c>
    </row>
    <row r="68" ht="12.75">
      <c r="A68" s="277" t="s">
        <v>325</v>
      </c>
    </row>
    <row r="69" ht="12.75">
      <c r="A69" s="277" t="s">
        <v>299</v>
      </c>
    </row>
    <row r="70" ht="12.75">
      <c r="A70" s="277" t="s">
        <v>399</v>
      </c>
    </row>
    <row r="71" ht="12.75">
      <c r="A71" s="277" t="s">
        <v>344</v>
      </c>
    </row>
    <row r="72" ht="12.75">
      <c r="A72" s="277" t="s">
        <v>290</v>
      </c>
    </row>
    <row r="73" ht="12.75">
      <c r="A73" s="277" t="s">
        <v>300</v>
      </c>
    </row>
    <row r="74" ht="12.75">
      <c r="A74" s="277" t="s">
        <v>307</v>
      </c>
    </row>
    <row r="75" ht="12.75">
      <c r="A75" s="277" t="s">
        <v>281</v>
      </c>
    </row>
    <row r="76" ht="12.75">
      <c r="A76" s="277" t="s">
        <v>326</v>
      </c>
    </row>
    <row r="77" ht="12.75">
      <c r="A77" s="277" t="s">
        <v>375</v>
      </c>
    </row>
    <row r="78" ht="12.75">
      <c r="A78" s="277" t="s">
        <v>277</v>
      </c>
    </row>
    <row r="79" ht="12.75">
      <c r="A79" s="277" t="s">
        <v>369</v>
      </c>
    </row>
    <row r="80" ht="12.75">
      <c r="A80" s="277" t="s">
        <v>295</v>
      </c>
    </row>
    <row r="81" ht="12.75">
      <c r="A81" s="277" t="s">
        <v>348</v>
      </c>
    </row>
    <row r="82" ht="12.75">
      <c r="A82" s="277" t="s">
        <v>975</v>
      </c>
    </row>
    <row r="83" ht="12.75">
      <c r="A83" s="277" t="s">
        <v>362</v>
      </c>
    </row>
    <row r="84" ht="12.75">
      <c r="A84" s="277" t="s">
        <v>327</v>
      </c>
    </row>
    <row r="85" ht="12.75">
      <c r="A85" s="277" t="s">
        <v>298</v>
      </c>
    </row>
    <row r="86" ht="12.75">
      <c r="A86" s="277" t="s">
        <v>302</v>
      </c>
    </row>
    <row r="87" ht="12.75">
      <c r="A87" s="277" t="s">
        <v>361</v>
      </c>
    </row>
    <row r="88" ht="12.75">
      <c r="A88" s="277" t="s">
        <v>359</v>
      </c>
    </row>
    <row r="89" ht="12.75">
      <c r="A89" s="277" t="s">
        <v>395</v>
      </c>
    </row>
    <row r="90" ht="12.75">
      <c r="A90" s="277" t="s">
        <v>974</v>
      </c>
    </row>
    <row r="91" ht="12.75">
      <c r="A91" s="277" t="s">
        <v>341</v>
      </c>
    </row>
    <row r="92" ht="12.75">
      <c r="A92" s="277" t="s">
        <v>311</v>
      </c>
    </row>
    <row r="93" ht="12.75">
      <c r="A93" s="277" t="s">
        <v>317</v>
      </c>
    </row>
    <row r="94" ht="12.75">
      <c r="A94" s="277" t="s">
        <v>351</v>
      </c>
    </row>
    <row r="95" ht="12.75">
      <c r="A95" s="277" t="s">
        <v>306</v>
      </c>
    </row>
    <row r="96" ht="12.75">
      <c r="A96" s="277" t="s">
        <v>294</v>
      </c>
    </row>
    <row r="97" ht="12.75">
      <c r="A97" s="277" t="s">
        <v>396</v>
      </c>
    </row>
    <row r="98" ht="12.75">
      <c r="A98" s="277" t="s">
        <v>413</v>
      </c>
    </row>
    <row r="99" ht="12.75">
      <c r="A99" s="277" t="s">
        <v>400</v>
      </c>
    </row>
    <row r="100" ht="12.75">
      <c r="A100" s="277" t="s">
        <v>976</v>
      </c>
    </row>
    <row r="101" ht="12.75">
      <c r="A101" s="277" t="s">
        <v>394</v>
      </c>
    </row>
    <row r="102" ht="12.75">
      <c r="A102" s="277" t="s">
        <v>397</v>
      </c>
    </row>
    <row r="103" ht="12.75">
      <c r="A103" s="277" t="s">
        <v>314</v>
      </c>
    </row>
    <row r="104" ht="12.75">
      <c r="A104" s="277" t="s">
        <v>338</v>
      </c>
    </row>
    <row r="105" ht="12.75">
      <c r="A105" s="277" t="s">
        <v>398</v>
      </c>
    </row>
    <row r="106" ht="12.75">
      <c r="A106" s="277" t="s">
        <v>403</v>
      </c>
    </row>
    <row r="107" ht="12.75">
      <c r="A107" s="277" t="s">
        <v>508</v>
      </c>
    </row>
    <row r="108" ht="12.75">
      <c r="A108" s="277" t="s">
        <v>401</v>
      </c>
    </row>
    <row r="109" ht="12.75">
      <c r="A109" s="277" t="s">
        <v>308</v>
      </c>
    </row>
    <row r="110" ht="12.75">
      <c r="A110" s="277" t="s">
        <v>330</v>
      </c>
    </row>
    <row r="111" ht="12.75">
      <c r="A111" s="277" t="s">
        <v>402</v>
      </c>
    </row>
    <row r="112" ht="12.75">
      <c r="A112" s="70" t="s">
        <v>409</v>
      </c>
    </row>
    <row r="113" ht="12.75">
      <c r="A113" s="70" t="s">
        <v>407</v>
      </c>
    </row>
    <row r="114" ht="12.75">
      <c r="A114" s="70" t="s">
        <v>292</v>
      </c>
    </row>
    <row r="115" ht="12.75">
      <c r="A115" s="70" t="s">
        <v>289</v>
      </c>
    </row>
    <row r="116" ht="12.75">
      <c r="A116" s="70" t="s">
        <v>342</v>
      </c>
    </row>
    <row r="117" ht="12.75">
      <c r="A117" s="70" t="s">
        <v>303</v>
      </c>
    </row>
    <row r="118" ht="12.75">
      <c r="A118" s="70" t="s">
        <v>288</v>
      </c>
    </row>
    <row r="119" ht="12.75">
      <c r="A119" s="70" t="s">
        <v>331</v>
      </c>
    </row>
    <row r="120" ht="12.75">
      <c r="A120" s="70" t="s">
        <v>412</v>
      </c>
    </row>
    <row r="121" ht="12.75">
      <c r="A121" s="70" t="s">
        <v>282</v>
      </c>
    </row>
    <row r="122" ht="12.75">
      <c r="A122" s="70" t="s">
        <v>364</v>
      </c>
    </row>
    <row r="123" ht="12.75">
      <c r="A123" s="70" t="s">
        <v>339</v>
      </c>
    </row>
    <row r="124" ht="12.75">
      <c r="A124" s="70" t="s">
        <v>296</v>
      </c>
    </row>
    <row r="125" ht="12.75">
      <c r="A125" s="70" t="s">
        <v>371</v>
      </c>
    </row>
    <row r="126" ht="12.75">
      <c r="A126" s="70" t="s">
        <v>340</v>
      </c>
    </row>
    <row r="127" ht="12.75">
      <c r="A127" s="70" t="s">
        <v>318</v>
      </c>
    </row>
    <row r="128" ht="12.75">
      <c r="A128" s="70" t="s">
        <v>349</v>
      </c>
    </row>
    <row r="129" ht="12.75">
      <c r="A129" s="70" t="s">
        <v>321</v>
      </c>
    </row>
    <row r="130" ht="12.75">
      <c r="A130" s="70" t="s">
        <v>335</v>
      </c>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